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8BE7" lockStructure="1"/>
  <bookViews>
    <workbookView xWindow="480" yWindow="120" windowWidth="11355" windowHeight="6330" tabRatio="649" firstSheet="1" activeTab="2"/>
  </bookViews>
  <sheets>
    <sheet name="raw data" sheetId="31" state="hidden" r:id="rId1"/>
    <sheet name="Introduction" sheetId="35" r:id="rId2"/>
    <sheet name="Summary" sheetId="23" r:id="rId3"/>
    <sheet name="Protected Areas" sheetId="32" r:id="rId4"/>
    <sheet name="Flow rate" sheetId="33" r:id="rId5"/>
    <sheet name="D.S. - D.C. &amp; F.F. " sheetId="20" r:id="rId6"/>
    <sheet name="S.F. - F.F." sheetId="19" r:id="rId7"/>
    <sheet name="S.F. - D.C (NFPA)" sheetId="3" r:id="rId8"/>
    <sheet name="S.F. - MCF" sheetId="5" r:id="rId9"/>
    <sheet name="S.F. - D.C (BS)" sheetId="34" r:id="rId10"/>
    <sheet name="Temp. Compensation" sheetId="21" r:id="rId11"/>
    <sheet name="Leakage Compensation" sheetId="24" r:id="rId12"/>
    <sheet name="Leakage Rate" sheetId="6" r:id="rId13"/>
  </sheets>
  <definedNames>
    <definedName name="_xlnm._FilterDatabase" localSheetId="3" hidden="1">'Protected Areas'!$L$19:$N$19</definedName>
    <definedName name="CO2_Standards">'Protected Areas'!$D$10</definedName>
    <definedName name="Container_No.">'Protected Areas'!$O$81</definedName>
    <definedName name="D.S._D.C.">'Protected Areas'!$D$17</definedName>
    <definedName name="D.S._F.F.">'Protected Areas'!$D$19</definedName>
    <definedName name="Discharge.Time">'Flow rate'!$C$11</definedName>
    <definedName name="F.F.D.S" localSheetId="11">'Leakage Compensation'!#REF!</definedName>
    <definedName name="Fire_Type">'Protected Areas'!$D$13</definedName>
    <definedName name="L.R">'Leakage Rate'!$P$18</definedName>
    <definedName name="Leakage_Compensation">'Leakage Compensation'!$S$14</definedName>
    <definedName name="Number_Enclosure">'raw data'!$G$2:$G$6</definedName>
    <definedName name="Number_of_Enclosures">'Protected Areas'!$D$22</definedName>
    <definedName name="O.D.S" localSheetId="11">'Leakage Compensation'!$E$13</definedName>
    <definedName name="_xlnm.Print_Area" localSheetId="5">'D.S. - D.C. &amp; F.F. '!$A$1:$I$28</definedName>
    <definedName name="_xlnm.Print_Area" localSheetId="4">'Flow rate'!$A$1:$T$39</definedName>
    <definedName name="_xlnm.Print_Area" localSheetId="1">Introduction!$A$1:$N$47</definedName>
    <definedName name="_xlnm.Print_Area" localSheetId="11">'Leakage Compensation'!$A$1:$V$20</definedName>
    <definedName name="_xlnm.Print_Area" localSheetId="12">'Leakage Rate'!$A$1:$P$38</definedName>
    <definedName name="_xlnm.Print_Area" localSheetId="3">'Protected Areas'!$A$1:$P$88</definedName>
    <definedName name="_xlnm.Print_Area" localSheetId="9">'S.F. - D.C (BS)'!$A$1:$C$38</definedName>
    <definedName name="_xlnm.Print_Area" localSheetId="7">'S.F. - D.C (NFPA)'!$A$1:$D$51</definedName>
    <definedName name="_xlnm.Print_Area" localSheetId="6">'S.F. - F.F.'!$A$1:$J$28</definedName>
    <definedName name="_xlnm.Print_Area" localSheetId="8">'S.F. - MCF'!$A$1:$N$51</definedName>
    <definedName name="_xlnm.Print_Area" localSheetId="2">Summary!$A$1:$L$36</definedName>
    <definedName name="_xlnm.Print_Area" localSheetId="10">'Temp. Compensation'!$A$1:$Q$29</definedName>
    <definedName name="_xlnm.Print_Titles" localSheetId="9">'S.F. - D.C (BS)'!$1:$9</definedName>
    <definedName name="_xlnm.Print_Titles" localSheetId="7">'S.F. - D.C (NFPA)'!$1:$9</definedName>
    <definedName name="Project.Name">Summary!$C$9</definedName>
    <definedName name="S.F._D.C">'Protected Areas'!$O$39</definedName>
    <definedName name="S.F._F.F">'S.F. - F.F.'!$I$10</definedName>
    <definedName name="S.F._F.F.1">'S.F. - F.F.'!$I$12</definedName>
    <definedName name="S.F._F.F.2">'S.F. - F.F.'!$I$13</definedName>
    <definedName name="S.F._F.F.3">'S.F. - F.F.'!$I$14</definedName>
    <definedName name="S.F._F.F.4">'S.F. - F.F.'!$I$15</definedName>
    <definedName name="S.F._F.F.5">'S.F. - F.F.'!$I$16</definedName>
    <definedName name="S.F._Fule_Type">'Protected Areas'!$D$37</definedName>
    <definedName name="S.F._M.C.F.1">'Protected Areas'!$D$43</definedName>
    <definedName name="S.F._M.C.F.2">'Protected Areas'!$E$43</definedName>
    <definedName name="S.F._Material">'raw data'!$J$2:$J$42</definedName>
    <definedName name="S.F_MDC">'raw data'!$K$2:$K$41</definedName>
    <definedName name="Standards">'raw data'!$B$2:$B$5</definedName>
    <definedName name="Temp">'Protected Areas'!$D$63</definedName>
    <definedName name="Temp_Compensate">'Temp. Compensation'!$P$13</definedName>
    <definedName name="Total.Volume">'Protected Areas'!$O$22</definedName>
    <definedName name="Total.Volume.1">'Protected Areas'!$L$28</definedName>
    <definedName name="Total.Volume.2">'Protected Areas'!$L$29</definedName>
    <definedName name="Total.Volume.3">'Protected Areas'!$L$30</definedName>
    <definedName name="Total.Volume.4">'Protected Areas'!$L$31</definedName>
    <definedName name="Total.Volume.5">'Protected Areas'!$L$32</definedName>
    <definedName name="Total_Agent">'Protected Areas'!$O$79</definedName>
    <definedName name="Total_Agent_Basic">'Protected Areas'!$O$35</definedName>
    <definedName name="Volume_01_percent">'Protected Areas'!$M$28</definedName>
    <definedName name="Volume_02_percent">'Protected Areas'!$M$29</definedName>
    <definedName name="Volume_03_percent">'Protected Areas'!$M$30</definedName>
    <definedName name="Volume_04_percent">'Protected Areas'!$M$31</definedName>
    <definedName name="Volume_05_percent">'Protected Areas'!$M$32</definedName>
  </definedNames>
  <calcPr calcId="145621"/>
</workbook>
</file>

<file path=xl/calcChain.xml><?xml version="1.0" encoding="utf-8"?>
<calcChain xmlns="http://schemas.openxmlformats.org/spreadsheetml/2006/main">
  <c r="G76" i="32" l="1"/>
  <c r="O81" i="32" s="1"/>
  <c r="G67" i="32"/>
  <c r="G33" i="23" l="1"/>
  <c r="O76" i="32"/>
  <c r="M83" i="32"/>
  <c r="B2" i="35"/>
  <c r="B1" i="35"/>
  <c r="H10" i="32"/>
  <c r="E34" i="23" l="1"/>
  <c r="T2" i="33"/>
  <c r="T1" i="33"/>
  <c r="P2" i="32"/>
  <c r="P1" i="32"/>
  <c r="J3" i="31" l="1"/>
  <c r="K3" i="31"/>
  <c r="J4" i="31"/>
  <c r="K4" i="31"/>
  <c r="J5" i="31"/>
  <c r="K5" i="31"/>
  <c r="J6" i="31"/>
  <c r="K6" i="31"/>
  <c r="J7" i="31"/>
  <c r="K7" i="31"/>
  <c r="J8" i="31"/>
  <c r="K8" i="31"/>
  <c r="J9" i="31"/>
  <c r="K9" i="31"/>
  <c r="J10" i="31"/>
  <c r="K10" i="31"/>
  <c r="J11" i="31"/>
  <c r="K11" i="31"/>
  <c r="J12" i="31"/>
  <c r="K12" i="31"/>
  <c r="J13" i="31"/>
  <c r="K13" i="31"/>
  <c r="J14" i="31"/>
  <c r="K14" i="31"/>
  <c r="J15" i="31"/>
  <c r="K15" i="31"/>
  <c r="J16" i="31"/>
  <c r="K16" i="31"/>
  <c r="J17" i="31"/>
  <c r="K17" i="31"/>
  <c r="J18" i="31"/>
  <c r="K18" i="31"/>
  <c r="J19" i="31"/>
  <c r="K19" i="31"/>
  <c r="J20" i="31"/>
  <c r="K20" i="31"/>
  <c r="J21" i="31"/>
  <c r="K21" i="31"/>
  <c r="J22" i="31"/>
  <c r="K22" i="31"/>
  <c r="J23" i="31"/>
  <c r="K23" i="31"/>
  <c r="J24" i="31"/>
  <c r="K24" i="31"/>
  <c r="J25" i="31"/>
  <c r="K25" i="31"/>
  <c r="J26" i="31"/>
  <c r="K26" i="31"/>
  <c r="J27" i="31"/>
  <c r="K27" i="31"/>
  <c r="J28" i="31"/>
  <c r="K28" i="31"/>
  <c r="J29" i="31"/>
  <c r="K29" i="31"/>
  <c r="J30" i="31"/>
  <c r="K30" i="31"/>
  <c r="J31" i="31"/>
  <c r="K31" i="31"/>
  <c r="J32" i="31"/>
  <c r="K32" i="31"/>
  <c r="J33" i="31"/>
  <c r="K33" i="31"/>
  <c r="J34" i="31"/>
  <c r="K34" i="31"/>
  <c r="J35" i="31"/>
  <c r="K35" i="31"/>
  <c r="J36" i="31"/>
  <c r="K36" i="31"/>
  <c r="J37" i="31"/>
  <c r="K37" i="31"/>
  <c r="J38" i="31"/>
  <c r="K38" i="31"/>
  <c r="J39" i="31"/>
  <c r="K39" i="31"/>
  <c r="J40" i="31"/>
  <c r="K40" i="31"/>
  <c r="J41" i="31"/>
  <c r="K41" i="31"/>
  <c r="J42" i="31"/>
  <c r="K42" i="31"/>
  <c r="L42" i="31"/>
  <c r="K2" i="31"/>
  <c r="J2" i="31"/>
  <c r="T3" i="31"/>
  <c r="T4" i="31"/>
  <c r="T5" i="31"/>
  <c r="T6" i="31"/>
  <c r="T7" i="31"/>
  <c r="T8" i="31"/>
  <c r="T9" i="31"/>
  <c r="T10" i="31"/>
  <c r="T11" i="31"/>
  <c r="T12" i="31"/>
  <c r="T13" i="31"/>
  <c r="T14" i="31"/>
  <c r="T15" i="31"/>
  <c r="T16" i="31"/>
  <c r="T17" i="31"/>
  <c r="T18" i="31"/>
  <c r="T19" i="31"/>
  <c r="T20" i="31"/>
  <c r="T21" i="31"/>
  <c r="T22" i="31"/>
  <c r="T23" i="31"/>
  <c r="T24" i="31"/>
  <c r="T25" i="31"/>
  <c r="T26" i="31"/>
  <c r="T27" i="31"/>
  <c r="T28" i="31"/>
  <c r="T2" i="31"/>
  <c r="R2" i="31"/>
  <c r="O2" i="31"/>
  <c r="O41" i="31"/>
  <c r="L41" i="31" s="1"/>
  <c r="O40" i="31"/>
  <c r="L40" i="31" s="1"/>
  <c r="O39" i="31"/>
  <c r="L39" i="31" s="1"/>
  <c r="O38" i="31"/>
  <c r="L38" i="31" s="1"/>
  <c r="O37" i="31"/>
  <c r="L37" i="31" s="1"/>
  <c r="O36" i="31"/>
  <c r="L36" i="31" s="1"/>
  <c r="O35" i="31"/>
  <c r="L35" i="31" s="1"/>
  <c r="O34" i="31"/>
  <c r="L34" i="31" s="1"/>
  <c r="O33" i="31"/>
  <c r="L33" i="31" s="1"/>
  <c r="O32" i="31"/>
  <c r="L32" i="31" s="1"/>
  <c r="O31" i="31"/>
  <c r="L31" i="31" s="1"/>
  <c r="O30" i="31"/>
  <c r="L30" i="31" s="1"/>
  <c r="O29" i="31"/>
  <c r="L29" i="31" s="1"/>
  <c r="O28" i="31"/>
  <c r="O27" i="31"/>
  <c r="O26" i="31"/>
  <c r="O25" i="31"/>
  <c r="O24" i="31"/>
  <c r="O23" i="31"/>
  <c r="O22" i="31"/>
  <c r="O21" i="31"/>
  <c r="O20" i="31"/>
  <c r="O19" i="31"/>
  <c r="O18" i="31"/>
  <c r="O17" i="31"/>
  <c r="O16" i="31"/>
  <c r="O15" i="31"/>
  <c r="O14" i="31"/>
  <c r="O13" i="31"/>
  <c r="O12" i="31"/>
  <c r="O11" i="31"/>
  <c r="O10" i="31"/>
  <c r="O9" i="31"/>
  <c r="O8" i="31"/>
  <c r="O7" i="31"/>
  <c r="O6" i="31"/>
  <c r="O5" i="31"/>
  <c r="O4" i="31"/>
  <c r="O3" i="31"/>
  <c r="R3" i="31"/>
  <c r="R4" i="31"/>
  <c r="R5" i="31"/>
  <c r="R6" i="31"/>
  <c r="R7" i="31"/>
  <c r="R8" i="31"/>
  <c r="R9" i="31"/>
  <c r="R10" i="31"/>
  <c r="R11" i="31"/>
  <c r="R12" i="31"/>
  <c r="R13" i="31"/>
  <c r="R14" i="31"/>
  <c r="R15" i="31"/>
  <c r="R16" i="31"/>
  <c r="R17" i="31"/>
  <c r="R18" i="31"/>
  <c r="R19" i="31"/>
  <c r="R20" i="31"/>
  <c r="R21" i="31"/>
  <c r="R22" i="31"/>
  <c r="R23" i="31"/>
  <c r="R24" i="31"/>
  <c r="R25" i="31"/>
  <c r="R26" i="31"/>
  <c r="R27" i="31"/>
  <c r="R28" i="31"/>
  <c r="H32" i="32"/>
  <c r="H31" i="32"/>
  <c r="H30" i="32"/>
  <c r="H29" i="32"/>
  <c r="H28" i="32"/>
  <c r="I32" i="32"/>
  <c r="I31" i="32"/>
  <c r="I30" i="32"/>
  <c r="I29" i="32"/>
  <c r="I28" i="32"/>
  <c r="J32" i="32"/>
  <c r="J31" i="32"/>
  <c r="J30" i="32"/>
  <c r="J29" i="32"/>
  <c r="J28" i="32"/>
  <c r="L3" i="31" l="1"/>
  <c r="L7" i="31"/>
  <c r="L5" i="31"/>
  <c r="L9" i="31"/>
  <c r="L13" i="31"/>
  <c r="L6" i="31"/>
  <c r="L10" i="31"/>
  <c r="L14" i="31"/>
  <c r="L18" i="31"/>
  <c r="L22" i="31"/>
  <c r="L26" i="31"/>
  <c r="L2" i="31"/>
  <c r="L11" i="31"/>
  <c r="L15" i="31"/>
  <c r="L19" i="31"/>
  <c r="L23" i="31"/>
  <c r="L27" i="31"/>
  <c r="L4" i="31"/>
  <c r="L8" i="31"/>
  <c r="L12" i="31"/>
  <c r="L16" i="31"/>
  <c r="L20" i="31"/>
  <c r="L24" i="31"/>
  <c r="L28" i="31"/>
  <c r="L17" i="31"/>
  <c r="L21" i="31"/>
  <c r="L25" i="31"/>
  <c r="T29" i="31"/>
  <c r="E43" i="32" s="1"/>
  <c r="L43" i="31" l="1"/>
  <c r="C11" i="33" l="1"/>
  <c r="C10" i="33"/>
  <c r="U16" i="33" l="1"/>
  <c r="D15" i="33"/>
  <c r="B22" i="33"/>
  <c r="B23" i="33"/>
  <c r="B24" i="33"/>
  <c r="B25" i="33"/>
  <c r="B21" i="33"/>
  <c r="A22" i="33"/>
  <c r="A23" i="33"/>
  <c r="A24" i="33"/>
  <c r="A25" i="33"/>
  <c r="A21" i="33"/>
  <c r="C8" i="33"/>
  <c r="H8" i="33"/>
  <c r="H24" i="33" l="1"/>
  <c r="P24" i="33" s="1"/>
  <c r="H25" i="33"/>
  <c r="P25" i="33" s="1"/>
  <c r="F21" i="33"/>
  <c r="G21" i="33"/>
  <c r="F22" i="33"/>
  <c r="G22" i="33"/>
  <c r="F23" i="33"/>
  <c r="G23" i="33"/>
  <c r="F24" i="33"/>
  <c r="G24" i="33"/>
  <c r="F25" i="33"/>
  <c r="G25" i="33"/>
  <c r="E22" i="33"/>
  <c r="E23" i="33"/>
  <c r="E24" i="33"/>
  <c r="E25" i="33"/>
  <c r="E21" i="33"/>
  <c r="A6" i="32"/>
  <c r="C8" i="5"/>
  <c r="U3" i="31" l="1"/>
  <c r="U2" i="31"/>
  <c r="G63" i="32" l="1"/>
  <c r="B65" i="32" s="1"/>
  <c r="G55" i="32"/>
  <c r="B59" i="32" s="1"/>
  <c r="G48" i="32"/>
  <c r="B50" i="32" s="1"/>
  <c r="A5" i="6" l="1"/>
  <c r="N13" i="6"/>
  <c r="A4" i="24"/>
  <c r="H12" i="32" l="1"/>
  <c r="C13" i="21" l="1"/>
  <c r="A4" i="21"/>
  <c r="I18" i="21" l="1"/>
  <c r="H8" i="20"/>
  <c r="H7" i="20"/>
  <c r="O37" i="32" l="1"/>
  <c r="D13" i="32"/>
  <c r="E15" i="32" s="1"/>
  <c r="L31" i="32"/>
  <c r="I24" i="33" s="1"/>
  <c r="L32" i="32"/>
  <c r="I25" i="33" s="1"/>
  <c r="L29" i="32"/>
  <c r="L30" i="32"/>
  <c r="I23" i="33" s="1"/>
  <c r="L28" i="32"/>
  <c r="I21" i="33" s="1"/>
  <c r="H22" i="33"/>
  <c r="P22" i="33" s="1"/>
  <c r="H23" i="33"/>
  <c r="P23" i="33" s="1"/>
  <c r="H21" i="33"/>
  <c r="P21" i="33" s="1"/>
  <c r="D15" i="32" l="1"/>
  <c r="C12" i="33" s="1"/>
  <c r="C45" i="32"/>
  <c r="A6" i="3"/>
  <c r="A6" i="5"/>
  <c r="A6" i="34"/>
  <c r="S58" i="32"/>
  <c r="H14" i="32"/>
  <c r="U15" i="33"/>
  <c r="E3" i="31"/>
  <c r="E5" i="31"/>
  <c r="E6" i="31"/>
  <c r="E7" i="31"/>
  <c r="E4" i="31"/>
  <c r="E2" i="31"/>
  <c r="S15" i="33"/>
  <c r="I22" i="33"/>
  <c r="F10" i="33"/>
  <c r="K7" i="6"/>
  <c r="C41" i="32"/>
  <c r="A6" i="19"/>
  <c r="A5" i="20"/>
  <c r="I15" i="19"/>
  <c r="N31" i="32" s="1"/>
  <c r="O31" i="32" s="1"/>
  <c r="K24" i="33" s="1"/>
  <c r="I14" i="19"/>
  <c r="N30" i="32" s="1"/>
  <c r="O30" i="32" s="1"/>
  <c r="K23" i="33" s="1"/>
  <c r="I13" i="19"/>
  <c r="I16" i="19"/>
  <c r="N32" i="32" s="1"/>
  <c r="O32" i="32" s="1"/>
  <c r="K25" i="33" s="1"/>
  <c r="I12" i="19"/>
  <c r="N28" i="32" s="1"/>
  <c r="O28" i="32" s="1"/>
  <c r="K21" i="33" s="1"/>
  <c r="E14" i="19"/>
  <c r="D14" i="20"/>
  <c r="H13" i="20"/>
  <c r="D16" i="20"/>
  <c r="H15" i="20"/>
  <c r="C13" i="20"/>
  <c r="H12" i="20"/>
  <c r="D12" i="20"/>
  <c r="C15" i="20"/>
  <c r="D15" i="20"/>
  <c r="C14" i="20"/>
  <c r="H14" i="20"/>
  <c r="E10" i="19"/>
  <c r="D13" i="20"/>
  <c r="C12" i="20"/>
  <c r="C16" i="20"/>
  <c r="H16" i="20"/>
  <c r="O22" i="32"/>
  <c r="M31" i="32" s="1"/>
  <c r="J24" i="33" s="1"/>
  <c r="D12" i="19"/>
  <c r="D16" i="19"/>
  <c r="D14" i="19"/>
  <c r="E16" i="19"/>
  <c r="D15" i="19"/>
  <c r="E15" i="19"/>
  <c r="D13" i="19"/>
  <c r="E12" i="19"/>
  <c r="E13" i="19"/>
  <c r="I10" i="19" l="1"/>
  <c r="S57" i="32" s="1"/>
  <c r="N29" i="32"/>
  <c r="O29" i="32" s="1"/>
  <c r="D10" i="19"/>
  <c r="M32" i="32"/>
  <c r="J25" i="33" s="1"/>
  <c r="M30" i="32"/>
  <c r="J23" i="33" s="1"/>
  <c r="B7" i="20"/>
  <c r="M29" i="32"/>
  <c r="J22" i="33" s="1"/>
  <c r="M28" i="32"/>
  <c r="J21" i="33" s="1"/>
  <c r="O35" i="32" l="1"/>
  <c r="K22" i="33"/>
  <c r="N19" i="32"/>
  <c r="O39" i="32"/>
  <c r="O43" i="32" s="1"/>
  <c r="O57" i="32"/>
  <c r="C10" i="5" l="1"/>
  <c r="N10" i="6"/>
  <c r="P18" i="6"/>
  <c r="K13" i="24" s="1"/>
  <c r="S14" i="24" s="1"/>
  <c r="C10" i="24" s="1"/>
  <c r="O48" i="32" l="1"/>
  <c r="S12" i="24"/>
  <c r="P13" i="6"/>
  <c r="B51" i="32" l="1"/>
  <c r="O53" i="32"/>
  <c r="E33" i="23"/>
  <c r="S13" i="24" l="1"/>
  <c r="J14" i="24" s="1"/>
  <c r="O61" i="32"/>
  <c r="I11" i="21" l="1"/>
  <c r="P13" i="21" s="1"/>
  <c r="O63" i="32" s="1"/>
  <c r="O69" i="32" s="1"/>
  <c r="L14" i="24"/>
  <c r="O71" i="32" l="1"/>
  <c r="E13" i="21"/>
  <c r="O73" i="32" l="1"/>
  <c r="E36" i="23" s="1"/>
  <c r="O79" i="32"/>
  <c r="U21" i="33" s="1"/>
  <c r="M21" i="33" s="1"/>
  <c r="N21" i="33" s="1"/>
  <c r="P29" i="32" l="1"/>
  <c r="O22" i="33" s="1"/>
  <c r="P32" i="32"/>
  <c r="L25" i="33" s="1"/>
  <c r="R25" i="33" s="1"/>
  <c r="S25" i="33" s="1"/>
  <c r="T25" i="33" s="1"/>
  <c r="P28" i="32"/>
  <c r="L21" i="33" s="1"/>
  <c r="R21" i="33" s="1"/>
  <c r="S21" i="33" s="1"/>
  <c r="T21" i="33" s="1"/>
  <c r="P30" i="32"/>
  <c r="O23" i="33" s="1"/>
  <c r="E30" i="23"/>
  <c r="G32" i="23" s="1"/>
  <c r="S16" i="33"/>
  <c r="P31" i="32"/>
  <c r="L24" i="33" s="1"/>
  <c r="R24" i="33" s="1"/>
  <c r="S24" i="33" s="1"/>
  <c r="T24" i="33" s="1"/>
  <c r="E32" i="23"/>
  <c r="O25" i="33" l="1"/>
  <c r="L22" i="33"/>
  <c r="R22" i="33" s="1"/>
  <c r="S22" i="33" s="1"/>
  <c r="T22" i="33" s="1"/>
  <c r="L23" i="33"/>
  <c r="R23" i="33" s="1"/>
  <c r="S23" i="33" s="1"/>
  <c r="T23" i="33" s="1"/>
  <c r="O21" i="33"/>
  <c r="O24" i="33"/>
</calcChain>
</file>

<file path=xl/comments1.xml><?xml version="1.0" encoding="utf-8"?>
<comments xmlns="http://schemas.openxmlformats.org/spreadsheetml/2006/main">
  <authors>
    <author>Ali</author>
  </authors>
  <commentList>
    <comment ref="J24" authorId="0">
      <text>
        <r>
          <rPr>
            <b/>
            <sz val="12"/>
            <color indexed="81"/>
            <rFont val="Tahoma"/>
            <family val="2"/>
          </rPr>
          <t>C</t>
        </r>
        <r>
          <rPr>
            <b/>
            <vertAlign val="subscript"/>
            <sz val="12"/>
            <color indexed="81"/>
            <rFont val="Tahoma"/>
            <family val="2"/>
          </rPr>
          <t>n</t>
        </r>
        <r>
          <rPr>
            <b/>
            <sz val="12"/>
            <color indexed="81"/>
            <rFont val="Tahoma"/>
            <family val="2"/>
          </rPr>
          <t>H</t>
        </r>
        <r>
          <rPr>
            <b/>
            <vertAlign val="subscript"/>
            <sz val="12"/>
            <color indexed="81"/>
            <rFont val="Tahoma"/>
            <family val="2"/>
          </rPr>
          <t xml:space="preserve">2m </t>
        </r>
        <r>
          <rPr>
            <b/>
            <sz val="12"/>
            <color indexed="81"/>
            <rFont val="Tahoma"/>
            <family val="2"/>
          </rPr>
          <t>+ 2m - 5</t>
        </r>
        <r>
          <rPr>
            <sz val="8"/>
            <color indexed="81"/>
            <rFont val="Tahoma"/>
            <family val="2"/>
          </rPr>
          <t xml:space="preserve">
</t>
        </r>
      </text>
    </comment>
    <comment ref="M24" authorId="0">
      <text>
        <r>
          <rPr>
            <b/>
            <sz val="12"/>
            <color indexed="81"/>
            <rFont val="Tahoma"/>
            <family val="2"/>
          </rPr>
          <t>C</t>
        </r>
        <r>
          <rPr>
            <b/>
            <vertAlign val="subscript"/>
            <sz val="12"/>
            <color indexed="81"/>
            <rFont val="Tahoma"/>
            <family val="2"/>
          </rPr>
          <t>n</t>
        </r>
        <r>
          <rPr>
            <b/>
            <sz val="12"/>
            <color indexed="81"/>
            <rFont val="Tahoma"/>
            <family val="2"/>
          </rPr>
          <t>H</t>
        </r>
        <r>
          <rPr>
            <b/>
            <vertAlign val="subscript"/>
            <sz val="12"/>
            <color indexed="81"/>
            <rFont val="Tahoma"/>
            <family val="2"/>
          </rPr>
          <t xml:space="preserve">2m </t>
        </r>
        <r>
          <rPr>
            <b/>
            <sz val="12"/>
            <color indexed="81"/>
            <rFont val="Tahoma"/>
            <family val="2"/>
          </rPr>
          <t>+ 2m - 5</t>
        </r>
        <r>
          <rPr>
            <sz val="8"/>
            <color indexed="81"/>
            <rFont val="Tahoma"/>
            <family val="2"/>
          </rPr>
          <t xml:space="preserve">
</t>
        </r>
      </text>
    </comment>
  </commentList>
</comments>
</file>

<file path=xl/comments2.xml><?xml version="1.0" encoding="utf-8"?>
<comments xmlns="http://schemas.openxmlformats.org/spreadsheetml/2006/main">
  <authors>
    <author>Ali</author>
    <author xml:space="preserve"> Ali Cheraghi</author>
  </authors>
  <commentList>
    <comment ref="A17" authorId="0">
      <text>
        <r>
          <rPr>
            <b/>
            <sz val="9"/>
            <color indexed="81"/>
            <rFont val="Tahoma"/>
            <family val="2"/>
          </rPr>
          <t>Ali:</t>
        </r>
        <r>
          <rPr>
            <sz val="9"/>
            <color indexed="81"/>
            <rFont val="Tahoma"/>
            <family val="2"/>
          </rPr>
          <t xml:space="preserve">
for DEEP SEATED fire select appropriate design concentration maually</t>
        </r>
      </text>
    </comment>
    <comment ref="A19" authorId="0">
      <text>
        <r>
          <rPr>
            <b/>
            <sz val="9"/>
            <color indexed="81"/>
            <rFont val="Tahoma"/>
            <family val="2"/>
          </rPr>
          <t>Ali:</t>
        </r>
        <r>
          <rPr>
            <sz val="9"/>
            <color indexed="81"/>
            <rFont val="Tahoma"/>
            <family val="2"/>
          </rPr>
          <t xml:space="preserve">
for DEEP SEATED fire, flooding factor shall be selected manually</t>
        </r>
      </text>
    </comment>
    <comment ref="L19" authorId="0">
      <text>
        <r>
          <rPr>
            <b/>
            <sz val="9"/>
            <color indexed="81"/>
            <rFont val="Tahoma"/>
            <family val="2"/>
          </rPr>
          <t>Ali:</t>
        </r>
        <r>
          <rPr>
            <sz val="9"/>
            <color indexed="81"/>
            <rFont val="Tahoma"/>
            <family val="2"/>
          </rPr>
          <t xml:space="preserve">
for SURFACE fire appropriate flooding factor will be select automatically for each enclosure seperatly!</t>
        </r>
      </text>
    </comment>
    <comment ref="D22" authorId="1">
      <text>
        <r>
          <rPr>
            <sz val="10"/>
            <color indexed="81"/>
            <rFont val="Cambria"/>
            <family val="1"/>
            <scheme val="major"/>
          </rPr>
          <t xml:space="preserve">You can select 5 parts for each sector that extinguish simultaneous (calculation will be perfored based on involved enclosure who that you selected): </t>
        </r>
        <r>
          <rPr>
            <b/>
            <sz val="10"/>
            <color indexed="81"/>
            <rFont val="Cambria"/>
            <family val="1"/>
            <scheme val="major"/>
          </rPr>
          <t xml:space="preserve">
</t>
        </r>
        <r>
          <rPr>
            <sz val="10"/>
            <color indexed="81"/>
            <rFont val="Cambria"/>
            <family val="1"/>
            <scheme val="major"/>
          </rPr>
          <t>1-Main Area
2-Main Area &amp; Suspend Ceiling
3-Main Area &amp; Suspend Ceiling &amp; Rised Floor
4- Other Part
5- Other Part
for each part, you have to insert its data to corrected sheet.</t>
        </r>
      </text>
    </comment>
    <comment ref="K25" authorId="0">
      <text>
        <r>
          <rPr>
            <b/>
            <sz val="9"/>
            <color indexed="81"/>
            <rFont val="Tahoma"/>
            <family val="2"/>
          </rPr>
          <t>Ali:</t>
        </r>
        <r>
          <rPr>
            <sz val="9"/>
            <color indexed="81"/>
            <rFont val="Tahoma"/>
            <family val="2"/>
          </rPr>
          <t xml:space="preserve">
NFPA 12 (2011 Edition), 5.3.3.1: In figuring the net cubic capacity to be protected, due allowance shall be permitted to be made for permanent nonremovable, impermeable structures materially reducing the volume.</t>
        </r>
      </text>
    </comment>
    <comment ref="L25" authorId="0">
      <text>
        <r>
          <rPr>
            <b/>
            <sz val="9"/>
            <color indexed="81"/>
            <rFont val="Tahoma"/>
            <family val="2"/>
          </rPr>
          <t>Ali:</t>
        </r>
        <r>
          <rPr>
            <sz val="9"/>
            <color indexed="81"/>
            <rFont val="Tahoma"/>
            <family val="2"/>
          </rPr>
          <t xml:space="preserve">
Total Hazard Volume after deducing non-permeable volume</t>
        </r>
      </text>
    </comment>
    <comment ref="O37" authorId="0">
      <text>
        <r>
          <rPr>
            <b/>
            <sz val="9"/>
            <color indexed="81"/>
            <rFont val="Tahoma"/>
            <family val="2"/>
          </rPr>
          <t>Ali:</t>
        </r>
        <r>
          <rPr>
            <sz val="9"/>
            <color indexed="81"/>
            <rFont val="Tahoma"/>
            <family val="2"/>
          </rPr>
          <t xml:space="preserve">
According to:
NFPA 12 (2011 Edition),
Table 5.3.2.2 Minimum Carbon Dioxide Concentrations for Extinguishment</t>
        </r>
      </text>
    </comment>
    <comment ref="A43" authorId="0">
      <text>
        <r>
          <rPr>
            <b/>
            <sz val="9"/>
            <color indexed="81"/>
            <rFont val="Tahoma"/>
            <family val="2"/>
          </rPr>
          <t>Ali:</t>
        </r>
        <r>
          <rPr>
            <sz val="9"/>
            <color indexed="81"/>
            <rFont val="Tahoma"/>
            <family val="2"/>
          </rPr>
          <t xml:space="preserve">
NFPA 12, Material Conversion Factor shall be selected manually from FIGURE 5.3.4
BS 5306 - 4, Material Conversion Factor selected Automatically</t>
        </r>
      </text>
    </comment>
    <comment ref="D43" authorId="0">
      <text>
        <r>
          <rPr>
            <b/>
            <sz val="9"/>
            <color indexed="81"/>
            <rFont val="Tahoma"/>
            <family val="2"/>
          </rPr>
          <t>Ali:</t>
        </r>
        <r>
          <rPr>
            <sz val="9"/>
            <color indexed="81"/>
            <rFont val="Tahoma"/>
            <family val="2"/>
          </rPr>
          <t xml:space="preserve">
NFPA Material Conversion Factor
shall be selected manually</t>
        </r>
      </text>
    </comment>
    <comment ref="E43" authorId="0">
      <text>
        <r>
          <rPr>
            <b/>
            <sz val="9"/>
            <color indexed="81"/>
            <rFont val="Tahoma"/>
            <family val="2"/>
          </rPr>
          <t>Ali:</t>
        </r>
        <r>
          <rPr>
            <sz val="9"/>
            <color indexed="81"/>
            <rFont val="Tahoma"/>
            <family val="2"/>
          </rPr>
          <t xml:space="preserve">
BS Material Conversion Facotr</t>
        </r>
      </text>
    </comment>
    <comment ref="A48" authorId="0">
      <text>
        <r>
          <rPr>
            <b/>
            <sz val="9"/>
            <color indexed="81"/>
            <rFont val="Tahoma"/>
            <family val="2"/>
          </rPr>
          <t>Ali:</t>
        </r>
        <r>
          <rPr>
            <sz val="9"/>
            <color indexed="81"/>
            <rFont val="Tahoma"/>
            <family val="2"/>
          </rPr>
          <t xml:space="preserve">
Inser Data in "Leakage Compensation" pag manually
Unclosable Opening
NFPA 12, 5.3.5.1</t>
        </r>
      </text>
    </comment>
    <comment ref="D48" authorId="0">
      <text>
        <r>
          <rPr>
            <b/>
            <sz val="9"/>
            <color indexed="81"/>
            <rFont val="Tahoma"/>
            <family val="2"/>
          </rPr>
          <t>Ali:
Manually Insert Data</t>
        </r>
        <r>
          <rPr>
            <sz val="9"/>
            <color indexed="81"/>
            <rFont val="Tahoma"/>
            <family val="2"/>
          </rPr>
          <t xml:space="preserve">
Please go to "Leakage Compensation" for calculating</t>
        </r>
      </text>
    </comment>
    <comment ref="A55" authorId="0">
      <text>
        <r>
          <rPr>
            <b/>
            <sz val="9"/>
            <color indexed="81"/>
            <rFont val="Tahoma"/>
            <family val="2"/>
          </rPr>
          <t>Ali:</t>
        </r>
        <r>
          <rPr>
            <sz val="9"/>
            <color indexed="81"/>
            <rFont val="Tahoma"/>
            <family val="2"/>
          </rPr>
          <t xml:space="preserve">
NFPA 12, 5.3.5.2</t>
        </r>
      </text>
    </comment>
    <comment ref="A63" authorId="0">
      <text>
        <r>
          <rPr>
            <b/>
            <sz val="9"/>
            <color indexed="81"/>
            <rFont val="Tahoma"/>
            <family val="2"/>
          </rPr>
          <t>Ali:</t>
        </r>
        <r>
          <rPr>
            <sz val="9"/>
            <color indexed="81"/>
            <rFont val="Tahoma"/>
            <family val="2"/>
          </rPr>
          <t xml:space="preserve">
NFPA 12, 5.3.5.3 &amp; 5.3.5.4</t>
        </r>
      </text>
    </comment>
    <comment ref="M73" authorId="0">
      <text>
        <r>
          <rPr>
            <b/>
            <sz val="9"/>
            <color indexed="81"/>
            <rFont val="Tahoma"/>
            <family val="2"/>
          </rPr>
          <t>Ali:</t>
        </r>
        <r>
          <rPr>
            <sz val="9"/>
            <color indexed="81"/>
            <rFont val="Tahoma"/>
            <family val="2"/>
          </rPr>
          <t xml:space="preserve">
67 Litre Cylinder
contain
45kg CO2</t>
        </r>
      </text>
    </comment>
    <comment ref="M81" authorId="0">
      <text>
        <r>
          <rPr>
            <b/>
            <sz val="9"/>
            <color indexed="81"/>
            <rFont val="Tahoma"/>
            <family val="2"/>
          </rPr>
          <t>Ali:</t>
        </r>
        <r>
          <rPr>
            <sz val="9"/>
            <color indexed="81"/>
            <rFont val="Tahoma"/>
            <family val="2"/>
          </rPr>
          <t xml:space="preserve">
67 Litre Cylinder
contain
45kg CO2</t>
        </r>
      </text>
    </comment>
  </commentList>
</comments>
</file>

<file path=xl/comments3.xml><?xml version="1.0" encoding="utf-8"?>
<comments xmlns="http://schemas.openxmlformats.org/spreadsheetml/2006/main">
  <authors>
    <author>Ali</author>
  </authors>
  <commentList>
    <comment ref="Q19" authorId="0">
      <text>
        <r>
          <rPr>
            <b/>
            <sz val="9"/>
            <color indexed="81"/>
            <rFont val="Tahoma"/>
            <family val="2"/>
          </rPr>
          <t>Ali:</t>
        </r>
        <r>
          <rPr>
            <sz val="9"/>
            <color indexed="81"/>
            <rFont val="Tahoma"/>
            <family val="2"/>
          </rPr>
          <t xml:space="preserve">
Set Number of Nozzles Manually for each hazard</t>
        </r>
      </text>
    </comment>
  </commentList>
</comments>
</file>

<file path=xl/comments4.xml><?xml version="1.0" encoding="utf-8"?>
<comments xmlns="http://schemas.openxmlformats.org/spreadsheetml/2006/main">
  <authors>
    <author>Ali</author>
  </authors>
  <commentList>
    <comment ref="A32" authorId="0">
      <text>
        <r>
          <rPr>
            <b/>
            <sz val="12"/>
            <color indexed="81"/>
            <rFont val="Tahoma"/>
            <family val="2"/>
          </rPr>
          <t>C</t>
        </r>
        <r>
          <rPr>
            <b/>
            <vertAlign val="subscript"/>
            <sz val="12"/>
            <color indexed="81"/>
            <rFont val="Tahoma"/>
            <family val="2"/>
          </rPr>
          <t>n</t>
        </r>
        <r>
          <rPr>
            <b/>
            <sz val="12"/>
            <color indexed="81"/>
            <rFont val="Tahoma"/>
            <family val="2"/>
          </rPr>
          <t>H</t>
        </r>
        <r>
          <rPr>
            <b/>
            <vertAlign val="subscript"/>
            <sz val="12"/>
            <color indexed="81"/>
            <rFont val="Tahoma"/>
            <family val="2"/>
          </rPr>
          <t xml:space="preserve">2m </t>
        </r>
        <r>
          <rPr>
            <b/>
            <sz val="12"/>
            <color indexed="81"/>
            <rFont val="Tahoma"/>
            <family val="2"/>
          </rPr>
          <t>+ 2m - 5</t>
        </r>
        <r>
          <rPr>
            <sz val="8"/>
            <color indexed="81"/>
            <rFont val="Tahoma"/>
            <family val="2"/>
          </rPr>
          <t xml:space="preserve">
</t>
        </r>
      </text>
    </comment>
  </commentList>
</comments>
</file>

<file path=xl/comments5.xml><?xml version="1.0" encoding="utf-8"?>
<comments xmlns="http://schemas.openxmlformats.org/spreadsheetml/2006/main">
  <authors>
    <author>Ali Cheraghi</author>
    <author>Ali</author>
  </authors>
  <commentList>
    <comment ref="A13" authorId="0">
      <text>
        <r>
          <rPr>
            <b/>
            <sz val="9"/>
            <color indexed="81"/>
            <rFont val="Tahoma"/>
            <family val="2"/>
          </rPr>
          <t>(Reference NFPA 12 Chapter 2 - 2.3 )
(Reference Clause 15.2 of BS 5306 : Part 4)</t>
        </r>
      </text>
    </comment>
    <comment ref="H13" authorId="1">
      <text>
        <r>
          <rPr>
            <b/>
            <sz val="9"/>
            <color indexed="81"/>
            <rFont val="Tahoma"/>
            <family val="2"/>
          </rPr>
          <t>Ali:</t>
        </r>
        <r>
          <rPr>
            <sz val="9"/>
            <color indexed="81"/>
            <rFont val="Tahoma"/>
            <family val="2"/>
          </rPr>
          <t xml:space="preserve">
selected manually</t>
        </r>
      </text>
    </comment>
  </commentList>
</comments>
</file>

<file path=xl/sharedStrings.xml><?xml version="1.0" encoding="utf-8"?>
<sst xmlns="http://schemas.openxmlformats.org/spreadsheetml/2006/main" count="534" uniqueCount="286">
  <si>
    <t>Width</t>
  </si>
  <si>
    <t>Height</t>
  </si>
  <si>
    <t>Volume Factor</t>
  </si>
  <si>
    <t>Volume of Space</t>
  </si>
  <si>
    <t>Kg</t>
  </si>
  <si>
    <t>Material</t>
  </si>
  <si>
    <t>Acetylene</t>
  </si>
  <si>
    <t>Acetone</t>
  </si>
  <si>
    <t>Benzol, benzene</t>
  </si>
  <si>
    <t>Butane</t>
  </si>
  <si>
    <t>Carbon monoxide</t>
  </si>
  <si>
    <t>Coal gas or natural gas</t>
  </si>
  <si>
    <t>Cyclopropane</t>
  </si>
  <si>
    <t>Dowtherm</t>
  </si>
  <si>
    <t>Ethane</t>
  </si>
  <si>
    <t>Ethylene</t>
  </si>
  <si>
    <t>Ethylene dichloride</t>
  </si>
  <si>
    <t>Ethylene oxide</t>
  </si>
  <si>
    <t>Hexane</t>
  </si>
  <si>
    <t>Hydrogen</t>
  </si>
  <si>
    <t>Isobutane</t>
  </si>
  <si>
    <t>Kerosene</t>
  </si>
  <si>
    <t>Methane</t>
  </si>
  <si>
    <t>Pentane</t>
  </si>
  <si>
    <t>Propane</t>
  </si>
  <si>
    <t>Quenching, lubricating oils</t>
  </si>
  <si>
    <t>m</t>
  </si>
  <si>
    <t>Back</t>
  </si>
  <si>
    <t>Length</t>
  </si>
  <si>
    <t>%</t>
  </si>
  <si>
    <t>Designer</t>
  </si>
  <si>
    <t>Aviation Gas Grades 115 / 145</t>
  </si>
  <si>
    <t>Butane-I</t>
  </si>
  <si>
    <t>Carbon Disulphide</t>
  </si>
  <si>
    <t>Ethyle Alcohole ( Ethanol )</t>
  </si>
  <si>
    <t>Ethyle Ether</t>
  </si>
  <si>
    <t>Diethyl Ether</t>
  </si>
  <si>
    <t>Dimethyl Ether</t>
  </si>
  <si>
    <t>Gasoline</t>
  </si>
  <si>
    <t>Higher Paraffin Hydrocarbon</t>
  </si>
  <si>
    <t>Hydrogen Sulfide</t>
  </si>
  <si>
    <t>Isobutylene</t>
  </si>
  <si>
    <t>Isobutyl formate</t>
  </si>
  <si>
    <t>JP 4</t>
  </si>
  <si>
    <t>Methyl Acetate</t>
  </si>
  <si>
    <t>Methyl Alcohole ( Methanol )</t>
  </si>
  <si>
    <t>Methyl Butene - I</t>
  </si>
  <si>
    <t>Methyl Ethyl Ketone</t>
  </si>
  <si>
    <t>Methyl Ethyl  formate</t>
  </si>
  <si>
    <t>Propylene</t>
  </si>
  <si>
    <t>Buta diene</t>
  </si>
  <si>
    <t>Material Conversion Factor</t>
  </si>
  <si>
    <t>Leakage Rate</t>
  </si>
  <si>
    <t>Temperature</t>
  </si>
  <si>
    <t>Volume  &lt; 3.96</t>
  </si>
  <si>
    <t>3.96 &lt;  Volume  &lt; 14.15</t>
  </si>
  <si>
    <t>14.16 &lt;  Volume  &lt; 45.28</t>
  </si>
  <si>
    <t>45.29 &lt;  Volume  &lt; 127.35</t>
  </si>
  <si>
    <t>127.36 &lt;  Volume  &lt; 1415.0</t>
  </si>
  <si>
    <t>Volume  &gt; 1415.0</t>
  </si>
  <si>
    <t>ft</t>
  </si>
  <si>
    <t>Convert</t>
  </si>
  <si>
    <t>Project Name</t>
  </si>
  <si>
    <t>Address</t>
  </si>
  <si>
    <t>DATE</t>
  </si>
  <si>
    <t>Title</t>
  </si>
  <si>
    <t>Number of Container requierd</t>
  </si>
  <si>
    <t>Number of "S" Nozzels requierd</t>
  </si>
  <si>
    <t>Insert  Data</t>
  </si>
  <si>
    <t>Area</t>
  </si>
  <si>
    <t>Hazard Factors</t>
  </si>
  <si>
    <t>Hazard</t>
  </si>
  <si>
    <t>Electrical Equipment</t>
  </si>
  <si>
    <t>Enclosed Rotating Equipment. Dry Electrical Wiring. Electrical Insulating Materials.</t>
  </si>
  <si>
    <t>Electronic Data Processing Installation</t>
  </si>
  <si>
    <t>Central Processing Area &amp; Equipment.</t>
  </si>
  <si>
    <t>Data Processing.Tape Controlled Machinery &amp; Tape Storage. Service Voids.</t>
  </si>
  <si>
    <t>Stores</t>
  </si>
  <si>
    <t>Record ( Bulk Paper ) Storag , Archives For Paper Documents , Dust &amp; Covered Trenches</t>
  </si>
  <si>
    <t>Fur Storage Vaults. Dust Collectors.</t>
  </si>
  <si>
    <t>Design Concentration</t>
  </si>
  <si>
    <t>Flooding Factor</t>
  </si>
  <si>
    <t>Surface Fire</t>
  </si>
  <si>
    <t>Design Concentration           ( % )</t>
  </si>
  <si>
    <t>°C</t>
  </si>
  <si>
    <t xml:space="preserve">   °C</t>
  </si>
  <si>
    <t>Tel :</t>
  </si>
  <si>
    <t>Fax :</t>
  </si>
  <si>
    <t>Total Flooding method</t>
  </si>
  <si>
    <t>Contact</t>
  </si>
  <si>
    <t>Contractor</t>
  </si>
  <si>
    <r>
      <t>The Table Based on an expantion ratio of .53 m</t>
    </r>
    <r>
      <rPr>
        <vertAlign val="superscript"/>
        <sz val="9"/>
        <rFont val="Arial"/>
        <family val="2"/>
      </rPr>
      <t>3</t>
    </r>
    <r>
      <rPr>
        <sz val="9"/>
        <rFont val="Arial"/>
        <family val="2"/>
      </rPr>
      <t>/kg at a temperature of 10 'C</t>
    </r>
  </si>
  <si>
    <t xml:space="preserve">   %</t>
  </si>
  <si>
    <r>
      <t xml:space="preserve">   m </t>
    </r>
    <r>
      <rPr>
        <b/>
        <vertAlign val="superscript"/>
        <sz val="9"/>
        <rFont val="Arial"/>
        <family val="2"/>
      </rPr>
      <t>3</t>
    </r>
  </si>
  <si>
    <t>System Flow Rate</t>
  </si>
  <si>
    <t>" The Concentration Should be Maintain for 20 Minutes "</t>
  </si>
  <si>
    <t>ATTENTION</t>
  </si>
  <si>
    <r>
      <t>Total quantity of CO</t>
    </r>
    <r>
      <rPr>
        <b/>
        <vertAlign val="subscript"/>
        <sz val="10"/>
        <rFont val="Cambria"/>
        <family val="1"/>
        <scheme val="major"/>
      </rPr>
      <t>2</t>
    </r>
    <r>
      <rPr>
        <b/>
        <sz val="10"/>
        <rFont val="Cambria"/>
        <family val="1"/>
        <scheme val="major"/>
      </rPr>
      <t xml:space="preserve"> required</t>
    </r>
  </si>
  <si>
    <r>
      <t>Hazard temperature</t>
    </r>
    <r>
      <rPr>
        <b/>
        <sz val="11"/>
        <color indexed="10"/>
        <rFont val="Cambria"/>
        <family val="1"/>
        <scheme val="major"/>
      </rPr>
      <t xml:space="preserve"> &gt; 93°C</t>
    </r>
    <r>
      <rPr>
        <b/>
        <sz val="11"/>
        <rFont val="Cambria"/>
        <family val="1"/>
        <scheme val="major"/>
      </rPr>
      <t xml:space="preserve"> ( 200 °F ) :  1% increase of calculated CO</t>
    </r>
    <r>
      <rPr>
        <b/>
        <vertAlign val="subscript"/>
        <sz val="11"/>
        <rFont val="Cambria"/>
        <family val="1"/>
        <scheme val="major"/>
      </rPr>
      <t>2</t>
    </r>
    <r>
      <rPr>
        <b/>
        <sz val="11"/>
        <rFont val="Cambria"/>
        <family val="1"/>
        <scheme val="major"/>
      </rPr>
      <t xml:space="preserve"> quantity for each additional 2.8°C above 93°C.</t>
    </r>
  </si>
  <si>
    <r>
      <t>CO</t>
    </r>
    <r>
      <rPr>
        <b/>
        <vertAlign val="subscript"/>
        <sz val="10"/>
        <rFont val="Cambria"/>
        <family val="1"/>
        <scheme val="major"/>
      </rPr>
      <t xml:space="preserve">2  </t>
    </r>
    <r>
      <rPr>
        <b/>
        <sz val="10"/>
        <color indexed="10"/>
        <rFont val="Cambria"/>
        <family val="1"/>
        <scheme val="major"/>
      </rPr>
      <t>high temp.</t>
    </r>
  </si>
  <si>
    <r>
      <t xml:space="preserve">Hazard temperature </t>
    </r>
    <r>
      <rPr>
        <b/>
        <sz val="11"/>
        <color indexed="48"/>
        <rFont val="Cambria"/>
        <family val="1"/>
        <scheme val="major"/>
      </rPr>
      <t>&lt; -18°C</t>
    </r>
    <r>
      <rPr>
        <b/>
        <sz val="11"/>
        <rFont val="Cambria"/>
        <family val="1"/>
        <scheme val="major"/>
      </rPr>
      <t xml:space="preserve"> (   0 °F ) :  1% increase of calculated CO</t>
    </r>
    <r>
      <rPr>
        <b/>
        <vertAlign val="subscript"/>
        <sz val="11"/>
        <rFont val="Cambria"/>
        <family val="1"/>
        <scheme val="major"/>
      </rPr>
      <t>2</t>
    </r>
    <r>
      <rPr>
        <b/>
        <sz val="11"/>
        <rFont val="Cambria"/>
        <family val="1"/>
        <scheme val="major"/>
      </rPr>
      <t xml:space="preserve"> quantity for each additional 1°C below -18°C.</t>
    </r>
  </si>
  <si>
    <r>
      <t>CO</t>
    </r>
    <r>
      <rPr>
        <b/>
        <vertAlign val="subscript"/>
        <sz val="10"/>
        <rFont val="Cambria"/>
        <family val="1"/>
        <scheme val="major"/>
      </rPr>
      <t xml:space="preserve">2  </t>
    </r>
    <r>
      <rPr>
        <b/>
        <sz val="10"/>
        <color indexed="48"/>
        <rFont val="Cambria"/>
        <family val="1"/>
        <scheme val="major"/>
      </rPr>
      <t>Low  temp.</t>
    </r>
  </si>
  <si>
    <r>
      <t xml:space="preserve">  kg CO</t>
    </r>
    <r>
      <rPr>
        <b/>
        <vertAlign val="subscript"/>
        <sz val="9"/>
        <rFont val="Arial"/>
        <family val="2"/>
      </rPr>
      <t>2</t>
    </r>
    <r>
      <rPr>
        <b/>
        <sz val="9"/>
        <rFont val="Arial"/>
        <family val="2"/>
      </rPr>
      <t>/m</t>
    </r>
    <r>
      <rPr>
        <b/>
        <vertAlign val="superscript"/>
        <sz val="9"/>
        <rFont val="Arial"/>
        <family val="2"/>
      </rPr>
      <t>3</t>
    </r>
  </si>
  <si>
    <t>No</t>
  </si>
  <si>
    <r>
      <t>Calculated Quantity of CO</t>
    </r>
    <r>
      <rPr>
        <b/>
        <vertAlign val="subscript"/>
        <sz val="10"/>
        <rFont val="Cambria"/>
        <family val="1"/>
        <scheme val="major"/>
      </rPr>
      <t>2</t>
    </r>
  </si>
  <si>
    <t>Discharge Time</t>
  </si>
  <si>
    <t>Total Volume</t>
  </si>
  <si>
    <t>Volume Factor 1</t>
  </si>
  <si>
    <t>Volume Factor 2</t>
  </si>
  <si>
    <t>Volume Factor 3</t>
  </si>
  <si>
    <r>
      <t>Theoretical Minimum Co</t>
    </r>
    <r>
      <rPr>
        <b/>
        <vertAlign val="subscript"/>
        <sz val="10"/>
        <rFont val="Cambria"/>
        <family val="1"/>
        <scheme val="major"/>
      </rPr>
      <t>2</t>
    </r>
    <r>
      <rPr>
        <b/>
        <sz val="10"/>
        <rFont val="Cambria"/>
        <family val="1"/>
        <scheme val="major"/>
      </rPr>
      <t xml:space="preserve"> Concentration ( % )</t>
    </r>
  </si>
  <si>
    <r>
      <t>Minimum Design Co</t>
    </r>
    <r>
      <rPr>
        <b/>
        <vertAlign val="subscript"/>
        <sz val="10"/>
        <rFont val="Cambria"/>
        <family val="1"/>
        <scheme val="major"/>
      </rPr>
      <t>2</t>
    </r>
    <r>
      <rPr>
        <b/>
        <sz val="10"/>
        <rFont val="Cambria"/>
        <family val="1"/>
        <scheme val="major"/>
      </rPr>
      <t xml:space="preserve">  Concentration ( % )</t>
    </r>
  </si>
  <si>
    <t>1391/08/08</t>
  </si>
  <si>
    <t>Number of Enclosures</t>
  </si>
  <si>
    <t>Deep Seated</t>
  </si>
  <si>
    <t>NFPA 12</t>
  </si>
  <si>
    <t>ISO 6183</t>
  </si>
  <si>
    <t>Vds 2093</t>
  </si>
  <si>
    <t>2 min.</t>
  </si>
  <si>
    <t>4 min.</t>
  </si>
  <si>
    <t>Sector No.</t>
  </si>
  <si>
    <t>Hazard Name</t>
  </si>
  <si>
    <t>Non-permeable Volume</t>
  </si>
  <si>
    <t>Design Standard</t>
  </si>
  <si>
    <t>Type of Fire</t>
  </si>
  <si>
    <t>Volume Factor 4</t>
  </si>
  <si>
    <t>Volume Factor 5</t>
  </si>
  <si>
    <r>
      <t>m</t>
    </r>
    <r>
      <rPr>
        <vertAlign val="superscript"/>
        <sz val="9"/>
        <rFont val="Cambria"/>
        <family val="1"/>
        <scheme val="major"/>
      </rPr>
      <t>3</t>
    </r>
  </si>
  <si>
    <r>
      <t>m</t>
    </r>
    <r>
      <rPr>
        <vertAlign val="superscript"/>
        <sz val="9"/>
        <rFont val="Cambria"/>
        <family val="1"/>
        <scheme val="major"/>
      </rPr>
      <t xml:space="preserve">3 </t>
    </r>
    <r>
      <rPr>
        <sz val="9"/>
        <rFont val="Cambria"/>
        <family val="1"/>
        <scheme val="major"/>
      </rPr>
      <t>/ Kg Co</t>
    </r>
    <r>
      <rPr>
        <vertAlign val="subscript"/>
        <sz val="9"/>
        <rFont val="Cambria"/>
        <family val="1"/>
        <scheme val="major"/>
      </rPr>
      <t>2</t>
    </r>
  </si>
  <si>
    <r>
      <t>Kg Co</t>
    </r>
    <r>
      <rPr>
        <vertAlign val="subscript"/>
        <sz val="9"/>
        <rFont val="Cambria"/>
        <family val="1"/>
        <scheme val="major"/>
      </rPr>
      <t>2</t>
    </r>
    <r>
      <rPr>
        <sz val="9"/>
        <rFont val="Cambria"/>
        <family val="1"/>
        <scheme val="major"/>
      </rPr>
      <t xml:space="preserve"> / m</t>
    </r>
    <r>
      <rPr>
        <vertAlign val="superscript"/>
        <sz val="9"/>
        <rFont val="Cambria"/>
        <family val="1"/>
        <scheme val="major"/>
      </rPr>
      <t xml:space="preserve">3 </t>
    </r>
    <r>
      <rPr>
        <b/>
        <sz val="18"/>
        <rFont val="Arial"/>
        <family val="2"/>
      </rPr>
      <t/>
    </r>
  </si>
  <si>
    <r>
      <t>Kg Co</t>
    </r>
    <r>
      <rPr>
        <vertAlign val="subscript"/>
        <sz val="8"/>
        <rFont val="Cambria"/>
        <family val="1"/>
        <scheme val="major"/>
      </rPr>
      <t>2</t>
    </r>
    <r>
      <rPr>
        <sz val="8"/>
        <rFont val="Cambria"/>
        <family val="1"/>
        <scheme val="major"/>
      </rPr>
      <t>/m</t>
    </r>
    <r>
      <rPr>
        <vertAlign val="superscript"/>
        <sz val="8"/>
        <rFont val="Cambria"/>
        <family val="1"/>
        <scheme val="major"/>
      </rPr>
      <t>3</t>
    </r>
  </si>
  <si>
    <r>
      <t>Kg Co</t>
    </r>
    <r>
      <rPr>
        <vertAlign val="subscript"/>
        <sz val="8"/>
        <rFont val="Cambria"/>
        <family val="1"/>
        <scheme val="major"/>
      </rPr>
      <t>2</t>
    </r>
    <r>
      <rPr>
        <sz val="8"/>
        <rFont val="Cambria"/>
        <family val="1"/>
        <scheme val="major"/>
      </rPr>
      <t>/m</t>
    </r>
    <r>
      <rPr>
        <vertAlign val="superscript"/>
        <sz val="8"/>
        <rFont val="Cambria"/>
        <family val="1"/>
        <scheme val="major"/>
      </rPr>
      <t>4</t>
    </r>
    <r>
      <rPr>
        <sz val="11"/>
        <color theme="1"/>
        <rFont val="Calibri"/>
        <family val="2"/>
        <scheme val="minor"/>
      </rPr>
      <t/>
    </r>
  </si>
  <si>
    <r>
      <t>Kg Co</t>
    </r>
    <r>
      <rPr>
        <vertAlign val="subscript"/>
        <sz val="8"/>
        <rFont val="Cambria"/>
        <family val="1"/>
        <scheme val="major"/>
      </rPr>
      <t>2</t>
    </r>
    <r>
      <rPr>
        <sz val="8"/>
        <rFont val="Cambria"/>
        <family val="1"/>
        <scheme val="major"/>
      </rPr>
      <t>/m</t>
    </r>
    <r>
      <rPr>
        <vertAlign val="superscript"/>
        <sz val="8"/>
        <rFont val="Cambria"/>
        <family val="1"/>
        <scheme val="major"/>
      </rPr>
      <t>5</t>
    </r>
    <r>
      <rPr>
        <sz val="11"/>
        <color theme="1"/>
        <rFont val="Calibri"/>
        <family val="2"/>
        <scheme val="minor"/>
      </rPr>
      <t/>
    </r>
  </si>
  <si>
    <t>Volume Factor
NFPA 12 (2011 Edition) - Table 5.3.3</t>
  </si>
  <si>
    <t>Total Volume Enclosure 1</t>
  </si>
  <si>
    <t>Total Volume Enclosure 2</t>
  </si>
  <si>
    <t>Total Volume Enclosure 3</t>
  </si>
  <si>
    <t>Total Volume Enclosure 4</t>
  </si>
  <si>
    <t>Total Volume Enclosure 5</t>
  </si>
  <si>
    <t>Basic Aget Quantity</t>
  </si>
  <si>
    <t>kg</t>
  </si>
  <si>
    <t xml:space="preserve">Volume Factor </t>
  </si>
  <si>
    <t>Select Type of Fule</t>
  </si>
  <si>
    <t>Ethyle Alcohole (Ethanol)</t>
  </si>
  <si>
    <t>Methyl Alcohole (Methanol)</t>
  </si>
  <si>
    <t>Aviation Gas Grades 115/145</t>
  </si>
  <si>
    <t>Minimum Carbon Dioxide Concentrations for Extinguishment</t>
  </si>
  <si>
    <t>A</t>
  </si>
  <si>
    <t>B</t>
  </si>
  <si>
    <t>C</t>
  </si>
  <si>
    <t>Selected Manually From "Materiaal Conversion Factor Curve</t>
  </si>
  <si>
    <t>back to Protected Areas</t>
  </si>
  <si>
    <t>back to Design Concentration Sheet</t>
  </si>
  <si>
    <t>CO2 Fire Suppression System</t>
  </si>
  <si>
    <t>(Deep Seated Fires)</t>
  </si>
  <si>
    <t>NFPA 12 (2011 Edition)
Table 5.4.2.1 Flooding Factors for Specific Hazards</t>
  </si>
  <si>
    <t>Total Basic Agent</t>
  </si>
  <si>
    <t>(Surface Fires)</t>
  </si>
  <si>
    <t>Min. Design Concentration</t>
  </si>
  <si>
    <t>Flooding Factor (F.F.)</t>
  </si>
  <si>
    <t>Project Name Sample</t>
  </si>
  <si>
    <t>5.3.3.2.1, In two or more interconnected volumes where free flow of carbon dioxide can take place, the carbon dioxide quantity shall be the sum of the quantities calculated for each volume, using its respective volume factor from Table 5.3.3</t>
  </si>
  <si>
    <r>
      <t>Flooding Factor
( kg CO</t>
    </r>
    <r>
      <rPr>
        <b/>
        <vertAlign val="subscript"/>
        <sz val="9"/>
        <rFont val="Cambria"/>
        <family val="1"/>
        <scheme val="major"/>
      </rPr>
      <t>2</t>
    </r>
    <r>
      <rPr>
        <b/>
        <sz val="9"/>
        <rFont val="Cambria"/>
        <family val="1"/>
        <scheme val="major"/>
      </rPr>
      <t>/m</t>
    </r>
    <r>
      <rPr>
        <b/>
        <vertAlign val="superscript"/>
        <sz val="9"/>
        <rFont val="Cambria"/>
        <family val="1"/>
        <scheme val="major"/>
      </rPr>
      <t>3</t>
    </r>
    <r>
      <rPr>
        <b/>
        <sz val="9"/>
        <rFont val="Cambria"/>
        <family val="1"/>
        <scheme val="major"/>
      </rPr>
      <t xml:space="preserve"> )</t>
    </r>
  </si>
  <si>
    <t>Anticipated Tempreture</t>
  </si>
  <si>
    <t>Compensated Agent</t>
  </si>
  <si>
    <t>NFPA 12 (2011 Edition)
Table 5.3.2.2</t>
  </si>
  <si>
    <t>3 min.</t>
  </si>
  <si>
    <t>5.3.5.3 For applications where the normal temperature of the enclosure is above 200°F (93°C), a 1 percent increase in the calculated total quantity of carbon dioxide shall be provided for each additional 5°F (2.8°C) above 200°F (93°C).
5.3.5.4 For applications where the normal temperature of the enclosure is below 0°F (−18°C), a 1 percent increase in the calculated total quantity of carbon dioxide shall be provided for each degree Fahrenheit below 0°F (−18°C).</t>
  </si>
  <si>
    <t xml:space="preserve">NFPA 12 (2011 Edition)
Tempreture Compensation </t>
  </si>
  <si>
    <t>go to Material Conversion Factor Curve</t>
  </si>
  <si>
    <t>NFPA 12 (2011 Edition)
FIGURE 5.3.4 Material Conversion Factors</t>
  </si>
  <si>
    <t>NFPA 12, 5.3.4 Material Conversion Factor: For materials requiring a design concentration over 34 percent, the basic quantity of carbon dioxide calculated from the volume factor given in Table 5.3.3 shall be increased by multiplying this quantity by the appropriate conversion factor given in Figure 5.3.4.</t>
  </si>
  <si>
    <t>NFPA 12 (2011 Edition)
5.3.5.1, Openings That Cannot Be Closed.</t>
  </si>
  <si>
    <t>back to Leakage Compensation</t>
  </si>
  <si>
    <t xml:space="preserve">go to Laeakage Rate </t>
  </si>
  <si>
    <t>Enter Leakage Rate</t>
  </si>
  <si>
    <t>NFPA 12, 5.3.5.1.1: Any openings that cannot be closed at the time of extinguishment shall be compensated for by the addition of a quantity of carbon dioxide equal to the anticipated loss at the design concentration during a 1-minute period.</t>
  </si>
  <si>
    <r>
      <t>Co</t>
    </r>
    <r>
      <rPr>
        <vertAlign val="subscript"/>
        <sz val="11"/>
        <rFont val="Cambria"/>
        <family val="1"/>
        <scheme val="major"/>
      </rPr>
      <t xml:space="preserve">2 </t>
    </r>
    <r>
      <rPr>
        <sz val="11"/>
        <rFont val="Cambria"/>
        <family val="1"/>
        <scheme val="major"/>
      </rPr>
      <t>Opening Loss</t>
    </r>
  </si>
  <si>
    <t>H: Opening centered from below ceiling</t>
  </si>
  <si>
    <r>
      <t>Lb/min·ft</t>
    </r>
    <r>
      <rPr>
        <b/>
        <vertAlign val="superscript"/>
        <sz val="8"/>
        <rFont val="Cambria"/>
        <family val="1"/>
        <scheme val="major"/>
      </rPr>
      <t>2</t>
    </r>
  </si>
  <si>
    <r>
      <t>kg/min·m</t>
    </r>
    <r>
      <rPr>
        <b/>
        <vertAlign val="superscript"/>
        <sz val="8"/>
        <rFont val="Cambria"/>
        <family val="1"/>
        <scheme val="major"/>
      </rPr>
      <t>2</t>
    </r>
  </si>
  <si>
    <t>A: Leakage Area</t>
  </si>
  <si>
    <t>Leakage Compensation</t>
  </si>
  <si>
    <t>Yes</t>
  </si>
  <si>
    <r>
      <t>kg/min·m</t>
    </r>
    <r>
      <rPr>
        <vertAlign val="superscript"/>
        <sz val="10"/>
        <rFont val="Cambria"/>
        <family val="1"/>
        <scheme val="major"/>
      </rPr>
      <t>2</t>
    </r>
  </si>
  <si>
    <t>Ventilation Compensat.</t>
  </si>
  <si>
    <t>Ventilation Sysetm</t>
  </si>
  <si>
    <r>
      <t>m</t>
    </r>
    <r>
      <rPr>
        <vertAlign val="superscript"/>
        <sz val="10"/>
        <rFont val="Cambria"/>
        <family val="1"/>
        <scheme val="major"/>
      </rPr>
      <t>3</t>
    </r>
    <r>
      <rPr>
        <sz val="10"/>
        <rFont val="Cambria"/>
        <family val="1"/>
        <scheme val="major"/>
      </rPr>
      <t>/min.</t>
    </r>
  </si>
  <si>
    <r>
      <t>Kg Co2/m</t>
    </r>
    <r>
      <rPr>
        <vertAlign val="superscript"/>
        <sz val="9"/>
        <rFont val="Cambria"/>
        <family val="1"/>
        <scheme val="major"/>
      </rPr>
      <t>3</t>
    </r>
  </si>
  <si>
    <t>Q1=</t>
  </si>
  <si>
    <t>Q2=</t>
  </si>
  <si>
    <t>Q3=</t>
  </si>
  <si>
    <t>Agent</t>
  </si>
  <si>
    <t>Q4=</t>
  </si>
  <si>
    <t>"NFPA 12 (2011 Edition): 5.4.1.1 After the design concentration is reached, the concentration shall be maintained for a substantial period of time, but not less than 20 minutes."</t>
  </si>
  <si>
    <r>
      <t>m</t>
    </r>
    <r>
      <rPr>
        <vertAlign val="superscript"/>
        <sz val="10"/>
        <rFont val="Cambria"/>
        <family val="1"/>
        <scheme val="major"/>
      </rPr>
      <t>2</t>
    </r>
  </si>
  <si>
    <r>
      <t>m</t>
    </r>
    <r>
      <rPr>
        <vertAlign val="superscript"/>
        <sz val="10"/>
        <rFont val="Cambria"/>
        <family val="1"/>
        <scheme val="major"/>
      </rPr>
      <t>3</t>
    </r>
  </si>
  <si>
    <r>
      <t>Kg CO2/m</t>
    </r>
    <r>
      <rPr>
        <vertAlign val="superscript"/>
        <sz val="10"/>
        <rFont val="Cambria"/>
        <family val="1"/>
        <scheme val="major"/>
      </rPr>
      <t>3</t>
    </r>
  </si>
  <si>
    <r>
      <t>Spaces 56.6 m</t>
    </r>
    <r>
      <rPr>
        <vertAlign val="superscript"/>
        <sz val="9"/>
        <rFont val="Cambria"/>
        <family val="1"/>
        <scheme val="major"/>
      </rPr>
      <t>3</t>
    </r>
  </si>
  <si>
    <r>
      <t>Spaces greater than 56.6 m</t>
    </r>
    <r>
      <rPr>
        <vertAlign val="superscript"/>
        <sz val="9"/>
        <rFont val="Cambria"/>
        <family val="1"/>
        <scheme val="major"/>
      </rPr>
      <t>3</t>
    </r>
  </si>
  <si>
    <t>Number of Nozzle</t>
  </si>
  <si>
    <t>NFPA 12, 5.2.1.2 If the quantity of carbon dioxide required for compensation exceeds the basic quantities required for flooding without leakage, the system shall be permitted to be designed for local application</t>
  </si>
  <si>
    <r>
      <t xml:space="preserve">m </t>
    </r>
    <r>
      <rPr>
        <vertAlign val="superscript"/>
        <sz val="10"/>
        <rFont val="Cambria"/>
        <family val="1"/>
        <scheme val="major"/>
      </rPr>
      <t>2</t>
    </r>
  </si>
  <si>
    <r>
      <t>Total Basic CO</t>
    </r>
    <r>
      <rPr>
        <vertAlign val="subscript"/>
        <sz val="11"/>
        <rFont val="Cambria"/>
        <family val="1"/>
        <scheme val="major"/>
      </rPr>
      <t xml:space="preserve">2 </t>
    </r>
    <r>
      <rPr>
        <sz val="11"/>
        <rFont val="Cambria"/>
        <family val="1"/>
        <scheme val="major"/>
      </rPr>
      <t>Quantity</t>
    </r>
  </si>
  <si>
    <t>Fule Min. Design Concentration</t>
  </si>
  <si>
    <t>Other</t>
  </si>
  <si>
    <t>1 min.</t>
  </si>
  <si>
    <t>7 min.</t>
  </si>
  <si>
    <t>Total Aget Quantity</t>
  </si>
  <si>
    <t>Basic Aget Quantity/Hazard</t>
  </si>
  <si>
    <t>Percent of Volume / Total</t>
  </si>
  <si>
    <t>Total Aget Quantity/Hazard</t>
  </si>
  <si>
    <t>min.</t>
  </si>
  <si>
    <t>Total Agent</t>
  </si>
  <si>
    <t>Flow rate / Hazard</t>
  </si>
  <si>
    <t>Agent/ Nozzle</t>
  </si>
  <si>
    <t>kg/min.</t>
  </si>
  <si>
    <t>pcs</t>
  </si>
  <si>
    <t>7 min. (30% in 2 min.)</t>
  </si>
  <si>
    <t>Generally the nozzles have a maximum coverage area of 30 square metres in a room up to 5 metres high</t>
  </si>
  <si>
    <t>It is normally recommended that nozzles are uniformly positioned on the ceiling of an enclosure to ensure a satisfactory distribution of CO2.</t>
  </si>
  <si>
    <r>
      <rPr>
        <b/>
        <sz val="11"/>
        <rFont val="Cambria"/>
        <family val="1"/>
        <scheme val="major"/>
      </rPr>
      <t>Vds 2093, 7.2.2:</t>
    </r>
    <r>
      <rPr>
        <sz val="11"/>
        <rFont val="Cambria"/>
        <family val="1"/>
        <scheme val="major"/>
      </rPr>
      <t xml:space="preserve"> For total flooding systems the maximum protected area per nozzle shall not exceed 30m².</t>
    </r>
  </si>
  <si>
    <r>
      <rPr>
        <b/>
        <sz val="11"/>
        <rFont val="Cambria"/>
        <family val="1"/>
        <scheme val="major"/>
      </rPr>
      <t>Vds 2093, 7.2.3:</t>
    </r>
    <r>
      <rPr>
        <sz val="11"/>
        <rFont val="Cambria"/>
        <family val="1"/>
        <scheme val="major"/>
      </rPr>
      <t xml:space="preserve"> In rooms higher than 5m the nozzles providing general CO2 distribution shall not only be arranged in the upper part under the ceiling of the room to be protected, but also at approx. 1/3 of the room height.
The lower nozzles shall discharge approx. 35% of the required CO2 design quantity into the flooding zone.
The protection of rooms higher than 10m and areas for which an extended discharge is provided shall be agreed with the competent authority.</t>
    </r>
  </si>
  <si>
    <t>recommend</t>
  </si>
  <si>
    <t>set to</t>
  </si>
  <si>
    <r>
      <t xml:space="preserve">NFPA 12 (2011 Edition)
Table 5.3.3(b) Flooding Factors
</t>
    </r>
    <r>
      <rPr>
        <sz val="10"/>
        <rFont val="Cambria"/>
        <family val="1"/>
        <scheme val="major"/>
      </rPr>
      <t>(BS 5306-4, Table 1)</t>
    </r>
  </si>
  <si>
    <t>Material Conversion Factor
(NFPA 12)</t>
  </si>
  <si>
    <t>Material Conversion Factor
(BS5839-4, Table 2)</t>
  </si>
  <si>
    <t>BS 5306-4
Table 2</t>
  </si>
  <si>
    <t>Butane-I, 3-diene</t>
  </si>
  <si>
    <t>Petroleum Spirit</t>
  </si>
  <si>
    <t>Propene</t>
  </si>
  <si>
    <t>BS 5306 - 4</t>
  </si>
  <si>
    <t>Kg Co2/m4</t>
  </si>
  <si>
    <t>Ethyle Alcohole(Ethanol)</t>
  </si>
  <si>
    <t>Methyl Alcohole(Methanol)</t>
  </si>
  <si>
    <t>BS 5306</t>
  </si>
  <si>
    <t>Main Pipe Size Estimating</t>
  </si>
  <si>
    <t>Nozzle Branch Pipe Size Estimating</t>
  </si>
  <si>
    <t>Pipe Size only can be as Estimating, Final Pipe Sizing shall be Carry out by Specialist Technicians via Tyco Software Programs.</t>
  </si>
  <si>
    <t>Date:</t>
  </si>
  <si>
    <t>Revision</t>
  </si>
  <si>
    <t>Ali Cheraghi</t>
  </si>
  <si>
    <t>For CO2  Total Flooding systems there are no strict rules governing the number of nozzles that should be applied to any type of hazard, however, nozzle spacing is dependent on the room height, flow rate, potential obstructions etc.</t>
  </si>
  <si>
    <t>Some rules and our recommendations:
1) position the nozzles uniformly on the ceiling
2) 30 m² coverage max.
3) 6 m spacing between nozzles
4) 3 m spacing between walls/obstructions and nozzles
5) 5 m coverage height</t>
  </si>
  <si>
    <t xml:space="preserve">Number of CO2 Containers </t>
  </si>
  <si>
    <t>Attention:</t>
  </si>
  <si>
    <t>back to Summary</t>
  </si>
  <si>
    <t>go to Flow Rate</t>
  </si>
  <si>
    <r>
      <t>CO</t>
    </r>
    <r>
      <rPr>
        <b/>
        <vertAlign val="subscript"/>
        <sz val="14"/>
        <rFont val="Cambria"/>
        <family val="1"/>
        <scheme val="major"/>
      </rPr>
      <t>2</t>
    </r>
    <r>
      <rPr>
        <b/>
        <sz val="14"/>
        <rFont val="Cambria"/>
        <family val="1"/>
        <scheme val="major"/>
      </rPr>
      <t xml:space="preserve"> Fire Suppression System</t>
    </r>
  </si>
  <si>
    <t>یا حق</t>
  </si>
  <si>
    <t>مقدمه</t>
  </si>
  <si>
    <t>شاد زی ، مهر افزون</t>
  </si>
  <si>
    <t>علی چراغی</t>
  </si>
  <si>
    <t>راه های تماس:</t>
  </si>
  <si>
    <t>ali@noorneda.com
ali_cheraghi@yahoo.com</t>
  </si>
  <si>
    <t>Email:</t>
  </si>
  <si>
    <t>Cellphone:</t>
  </si>
  <si>
    <t>+98 912 376 1057</t>
  </si>
  <si>
    <t>(تهران سوم اردیبهشت (اَشَه) 1396)</t>
  </si>
  <si>
    <t xml:space="preserve">از جناب استاد مهندس مرتضی خلیل پیما، مدیریت محترم عامل شرکت نور ندا بعلت آموزش ها و راهنمایی های همیشگی شان در مسیر آشنایی با مهندسی حریق، کمال تشکر و قدردانی را دارم.
از جناب آقای مهندس امیر خلیل پیما، مدیریت محترم عامل شرکت نور ندا سیستم بعلت مساعدت و پشتیبانی همه جانبه در جهت آموزش و همچنین ایجاد این نرم افزار و سایر مقالات مزتبط با مباحث مهندسی سپاسگذارم.
این نرم افزار کوچک وقف عام بوده و استفاده از آن با ذکر منبع برای تمامی افراد و سازمان ها بلامانع می باشد.
از تمامی دوستان، اساتید و کارشناسان محترم تقاضا دارم تا پس از استفاده از این نرم افزار، با ارائه انتقادات، پیشنهادات و راهنمائی های خود اینجانب را در برطرف نمودن ایرادات موجود و ارتقاء این نرم افزار یاری فرمایند.
</t>
  </si>
  <si>
    <t>Insert Project Name Sample</t>
  </si>
  <si>
    <t>Flow Rate / Nozzle</t>
  </si>
  <si>
    <t>This Software designed for CO2 basic PreCalculation.
Final Calculation Must be done by Specialist Technicians via Specified Tyco, THORN or LPG Software Programs.</t>
  </si>
  <si>
    <t>Agent Calculation Result</t>
  </si>
  <si>
    <t>Project Information</t>
  </si>
  <si>
    <t>Switchgear Room</t>
  </si>
  <si>
    <t>Transformer Room</t>
  </si>
  <si>
    <t>Cable Gallery</t>
  </si>
  <si>
    <t>Your Data Selection:</t>
  </si>
  <si>
    <t>Select appropriate Design Concentration &amp; Flooding Factor Manually and Insert data in Protected Area Sheet</t>
  </si>
  <si>
    <t>Percent of Hazard Volume/Total</t>
  </si>
  <si>
    <t>Hazard Dimension</t>
  </si>
  <si>
    <t>Hazard Area</t>
  </si>
  <si>
    <t>Hazard Volume</t>
  </si>
  <si>
    <t>Total Agent (CO2)</t>
  </si>
  <si>
    <t>Over Design</t>
  </si>
  <si>
    <t>Over Design Percent</t>
  </si>
  <si>
    <t>Reserve (100%)</t>
  </si>
  <si>
    <t>Agent (+Ventilation Comp.)</t>
  </si>
  <si>
    <t>Agent (+Leakage Comp.)</t>
  </si>
  <si>
    <t>Q5 (Total) =</t>
  </si>
  <si>
    <t>Total Hazard Volume</t>
  </si>
  <si>
    <t>Hazard Boundary Area</t>
  </si>
  <si>
    <t>1396/05/28</t>
  </si>
  <si>
    <r>
      <t>1. این نرم افزار کوچک آموزشی اولین بار در سال 1388 در شرکت نور ندا سیستم و بجهت آموزش پرسنل تهیه گردید و سپس در سال های بعد اصلاحاتی در آن بوجود آمد.
2. این افزار کوچک قادر به محاسبه اولیۀ حجم گاز و تعداد کپسول های محتوی گاز دی اکسید کربن (</t>
    </r>
    <r>
      <rPr>
        <sz val="11"/>
        <rFont val="Cambria"/>
        <family val="1"/>
        <scheme val="major"/>
      </rPr>
      <t>CO2</t>
    </r>
    <r>
      <rPr>
        <b/>
        <sz val="11"/>
        <rFont val="B Nazanin"/>
        <charset val="178"/>
      </rPr>
      <t xml:space="preserve">)، مورد نیاز در سیستم های اطفاء حریق اتوماتیک پایۀ گاز می باشد.
3. هدف از ایجاد این نرم افزار آموزش محاسبۀ حجم گاز، سرعت بخشیدن به محاسبۀ اولیۀ حجم گاز و تعداد کپسول های مورد نیاز می باشد.
4. محاسبات نهایی و اصلی می بایست توسط نرم افزارهای مربوطه همانند نرم افزارهای شرکت </t>
    </r>
    <r>
      <rPr>
        <b/>
        <sz val="11"/>
        <rFont val="Cambria"/>
        <family val="1"/>
        <scheme val="major"/>
      </rPr>
      <t>TYCO-THORN-LPG</t>
    </r>
    <r>
      <rPr>
        <b/>
        <sz val="11"/>
        <rFont val="B Nazanin"/>
        <charset val="178"/>
      </rPr>
      <t xml:space="preserve"> انجام شود.
5. استفاده از این نرم افزار نیازمند آشنایی کامل با استاندادرهای مربوطه همانند </t>
    </r>
    <r>
      <rPr>
        <b/>
        <sz val="11"/>
        <rFont val="Cambria"/>
        <family val="1"/>
        <scheme val="major"/>
      </rPr>
      <t>NFPA12</t>
    </r>
    <r>
      <rPr>
        <b/>
        <sz val="11"/>
        <rFont val="B Nazanin"/>
        <charset val="178"/>
      </rPr>
      <t xml:space="preserve"> و سایر کدها و الزمات مربوطه می باشد. 
6. انجام محاسبات باید توسط افراد آشنا با مهندسی حریق و آموزش دیده انجام شود.
7. در صفحه خلاصه (</t>
    </r>
    <r>
      <rPr>
        <sz val="11"/>
        <rFont val="Cambria"/>
        <family val="1"/>
        <scheme val="major"/>
      </rPr>
      <t>summary</t>
    </r>
    <r>
      <rPr>
        <b/>
        <sz val="11"/>
        <rFont val="B Nazanin"/>
        <charset val="178"/>
      </rPr>
      <t>)، سلول های خالی با فونت بنفش رنگ و در سایر صفحات، سلول های با فونت سبز و بنفش رنگ جهت ورود اطلاعات (اعم از تایپ و یا انتخاب گزینه) در نظر گرفته شده اند.
8. در تمامی صفحات سلول های با فونت آبی رنگ نتایج محاسبات بوده و غیر قابل تغییر می باشند.
9. برای هر بار محاسبه، صفحات باید بترتیب مرور و اطلاعات لازم در هر سطر بترتیب از بالا به پایین تکمیل شوند.
10. به هشدارهای داده شده و یا اطلاعات تکمیلی (</t>
    </r>
    <r>
      <rPr>
        <sz val="11"/>
        <rFont val="Cambria"/>
        <family val="1"/>
        <scheme val="major"/>
      </rPr>
      <t>comment</t>
    </r>
    <r>
      <rPr>
        <b/>
        <sz val="11"/>
        <rFont val="B Nazanin"/>
        <charset val="178"/>
      </rPr>
      <t xml:space="preserve">) ارائه شده، توجه کامل شود.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</si>
</sst>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Red]0"/>
    <numFmt numFmtId="165" formatCode="0.00_ ;[Red]\-0.00\ "/>
    <numFmt numFmtId="166" formatCode="0_ ;[Red]\-0\ "/>
    <numFmt numFmtId="167" formatCode="#,##0;[Red]#,##0"/>
    <numFmt numFmtId="168" formatCode="#,##0.0"/>
    <numFmt numFmtId="169" formatCode="0.0%"/>
    <numFmt numFmtId="170" formatCode="#,##0.0000"/>
    <numFmt numFmtId="171" formatCode="#,##0.0;[Red]#,##0.0"/>
  </numFmts>
  <fonts count="120" x14ac:knownFonts="1">
    <font>
      <sz val="10"/>
      <name val="Arial"/>
      <charset val="178"/>
    </font>
    <font>
      <sz val="11"/>
      <color theme="1"/>
      <name val="Calibri"/>
      <family val="2"/>
      <scheme val="minor"/>
    </font>
    <font>
      <b/>
      <sz val="12"/>
      <name val="Arial"/>
      <family val="2"/>
    </font>
    <font>
      <sz val="8"/>
      <name val="Arial"/>
      <family val="2"/>
    </font>
    <font>
      <sz val="8"/>
      <color indexed="81"/>
      <name val="Tahoma"/>
      <family val="2"/>
    </font>
    <font>
      <b/>
      <sz val="18"/>
      <name val="Arial"/>
      <family val="2"/>
    </font>
    <font>
      <u/>
      <sz val="10"/>
      <color indexed="12"/>
      <name val="Arial"/>
      <family val="2"/>
    </font>
    <font>
      <b/>
      <sz val="10"/>
      <name val="Arial"/>
      <family val="2"/>
    </font>
    <font>
      <b/>
      <sz val="12"/>
      <color indexed="81"/>
      <name val="Tahoma"/>
      <family val="2"/>
    </font>
    <font>
      <b/>
      <vertAlign val="subscript"/>
      <sz val="12"/>
      <color indexed="81"/>
      <name val="Tahoma"/>
      <family val="2"/>
    </font>
    <font>
      <b/>
      <sz val="10"/>
      <color indexed="12"/>
      <name val="Arial"/>
      <family val="2"/>
    </font>
    <font>
      <b/>
      <sz val="14"/>
      <color indexed="12"/>
      <name val="Arial"/>
      <family val="2"/>
    </font>
    <font>
      <b/>
      <u/>
      <sz val="14"/>
      <color indexed="12"/>
      <name val="Arial"/>
      <family val="2"/>
    </font>
    <font>
      <b/>
      <u/>
      <sz val="12"/>
      <color indexed="9"/>
      <name val="Arial"/>
      <family val="2"/>
    </font>
    <font>
      <sz val="10"/>
      <color indexed="9"/>
      <name val="Arial"/>
      <family val="2"/>
    </font>
    <font>
      <b/>
      <sz val="9"/>
      <name val="Arial"/>
      <family val="2"/>
    </font>
    <font>
      <b/>
      <sz val="10"/>
      <color indexed="12"/>
      <name val="Arial"/>
      <family val="2"/>
    </font>
    <font>
      <b/>
      <i/>
      <sz val="8"/>
      <name val="Arial"/>
      <family val="2"/>
    </font>
    <font>
      <b/>
      <vertAlign val="subscript"/>
      <sz val="9"/>
      <name val="Arial"/>
      <family val="2"/>
    </font>
    <font>
      <b/>
      <sz val="9"/>
      <color indexed="81"/>
      <name val="Tahoma"/>
      <family val="2"/>
    </font>
    <font>
      <sz val="9"/>
      <color indexed="81"/>
      <name val="Tahoma"/>
      <family val="2"/>
    </font>
    <font>
      <b/>
      <vertAlign val="superscript"/>
      <sz val="9"/>
      <name val="Arial"/>
      <family val="2"/>
    </font>
    <font>
      <sz val="9"/>
      <name val="Arial"/>
      <family val="2"/>
    </font>
    <font>
      <vertAlign val="superscript"/>
      <sz val="9"/>
      <name val="Arial"/>
      <family val="2"/>
    </font>
    <font>
      <b/>
      <i/>
      <sz val="8"/>
      <name val="Cambria"/>
      <family val="1"/>
      <scheme val="major"/>
    </font>
    <font>
      <sz val="10"/>
      <name val="Cambria"/>
      <family val="1"/>
      <scheme val="major"/>
    </font>
    <font>
      <b/>
      <sz val="12"/>
      <name val="Cambria"/>
      <family val="1"/>
      <scheme val="major"/>
    </font>
    <font>
      <b/>
      <sz val="10"/>
      <name val="Cambria"/>
      <family val="1"/>
      <scheme val="major"/>
    </font>
    <font>
      <b/>
      <sz val="10"/>
      <color indexed="12"/>
      <name val="Cambria"/>
      <family val="1"/>
      <scheme val="major"/>
    </font>
    <font>
      <b/>
      <sz val="10"/>
      <color indexed="9"/>
      <name val="Cambria"/>
      <family val="1"/>
      <scheme val="major"/>
    </font>
    <font>
      <b/>
      <sz val="10"/>
      <color indexed="17"/>
      <name val="Cambria"/>
      <family val="1"/>
      <scheme val="major"/>
    </font>
    <font>
      <b/>
      <vertAlign val="subscript"/>
      <sz val="10"/>
      <name val="Cambria"/>
      <family val="1"/>
      <scheme val="major"/>
    </font>
    <font>
      <b/>
      <sz val="9"/>
      <name val="Cambria"/>
      <family val="1"/>
      <scheme val="major"/>
    </font>
    <font>
      <b/>
      <sz val="9"/>
      <color rgb="FF000080"/>
      <name val="Cambria"/>
      <family val="1"/>
      <scheme val="major"/>
    </font>
    <font>
      <b/>
      <sz val="10"/>
      <color rgb="FF000080"/>
      <name val="Cambria"/>
      <family val="1"/>
      <scheme val="major"/>
    </font>
    <font>
      <b/>
      <i/>
      <sz val="12"/>
      <name val="Cambria"/>
      <family val="1"/>
      <scheme val="major"/>
    </font>
    <font>
      <b/>
      <sz val="16"/>
      <name val="Cambria"/>
      <family val="1"/>
      <scheme val="major"/>
    </font>
    <font>
      <sz val="11"/>
      <name val="Cambria"/>
      <family val="1"/>
      <scheme val="major"/>
    </font>
    <font>
      <b/>
      <sz val="11"/>
      <color indexed="12"/>
      <name val="Cambria"/>
      <family val="1"/>
      <scheme val="major"/>
    </font>
    <font>
      <b/>
      <sz val="10"/>
      <color indexed="57"/>
      <name val="Cambria"/>
      <family val="1"/>
      <scheme val="major"/>
    </font>
    <font>
      <b/>
      <sz val="10"/>
      <color indexed="10"/>
      <name val="Cambria"/>
      <family val="1"/>
      <scheme val="major"/>
    </font>
    <font>
      <b/>
      <sz val="14"/>
      <name val="Cambria"/>
      <family val="1"/>
      <scheme val="major"/>
    </font>
    <font>
      <b/>
      <vertAlign val="subscript"/>
      <sz val="9"/>
      <name val="Cambria"/>
      <family val="1"/>
      <scheme val="major"/>
    </font>
    <font>
      <b/>
      <sz val="11"/>
      <name val="Cambria"/>
      <family val="1"/>
      <scheme val="major"/>
    </font>
    <font>
      <b/>
      <sz val="11"/>
      <color indexed="10"/>
      <name val="Cambria"/>
      <family val="1"/>
      <scheme val="major"/>
    </font>
    <font>
      <b/>
      <i/>
      <sz val="10"/>
      <name val="Cambria"/>
      <family val="1"/>
      <scheme val="major"/>
    </font>
    <font>
      <b/>
      <vertAlign val="superscript"/>
      <sz val="9"/>
      <name val="Cambria"/>
      <family val="1"/>
      <scheme val="major"/>
    </font>
    <font>
      <sz val="10"/>
      <color indexed="9"/>
      <name val="Cambria"/>
      <family val="1"/>
      <scheme val="major"/>
    </font>
    <font>
      <b/>
      <u/>
      <sz val="10"/>
      <color indexed="12"/>
      <name val="Cambria"/>
      <family val="1"/>
      <scheme val="major"/>
    </font>
    <font>
      <b/>
      <sz val="12"/>
      <color indexed="18"/>
      <name val="Cambria"/>
      <family val="1"/>
      <scheme val="major"/>
    </font>
    <font>
      <b/>
      <sz val="10"/>
      <color indexed="48"/>
      <name val="Cambria"/>
      <family val="1"/>
      <scheme val="major"/>
    </font>
    <font>
      <b/>
      <sz val="12"/>
      <color indexed="12"/>
      <name val="Cambria"/>
      <family val="1"/>
      <scheme val="major"/>
    </font>
    <font>
      <sz val="11"/>
      <color indexed="9"/>
      <name val="Cambria"/>
      <family val="1"/>
      <scheme val="major"/>
    </font>
    <font>
      <b/>
      <vertAlign val="subscript"/>
      <sz val="11"/>
      <name val="Cambria"/>
      <family val="1"/>
      <scheme val="major"/>
    </font>
    <font>
      <b/>
      <sz val="11"/>
      <color indexed="48"/>
      <name val="Cambria"/>
      <family val="1"/>
      <scheme val="major"/>
    </font>
    <font>
      <b/>
      <sz val="14"/>
      <color rgb="FFFF0000"/>
      <name val="Cambria"/>
      <family val="1"/>
      <scheme val="major"/>
    </font>
    <font>
      <sz val="9"/>
      <color rgb="FF000080"/>
      <name val="Cambria"/>
      <family val="1"/>
      <scheme val="major"/>
    </font>
    <font>
      <sz val="12"/>
      <name val="Cambria"/>
      <family val="1"/>
      <scheme val="major"/>
    </font>
    <font>
      <sz val="10"/>
      <color indexed="12"/>
      <name val="Cambria"/>
      <family val="1"/>
      <scheme val="major"/>
    </font>
    <font>
      <u/>
      <sz val="10"/>
      <color indexed="12"/>
      <name val="Cambria"/>
      <family val="1"/>
      <scheme val="major"/>
    </font>
    <font>
      <b/>
      <sz val="10"/>
      <color theme="0"/>
      <name val="Cambria"/>
      <family val="1"/>
      <scheme val="major"/>
    </font>
    <font>
      <sz val="9"/>
      <name val="Cambria"/>
      <family val="1"/>
      <scheme val="major"/>
    </font>
    <font>
      <sz val="10"/>
      <color rgb="FF000080"/>
      <name val="Cambria"/>
      <family val="1"/>
      <scheme val="major"/>
    </font>
    <font>
      <b/>
      <sz val="12"/>
      <color indexed="10"/>
      <name val="Cambria"/>
      <family val="1"/>
      <scheme val="major"/>
    </font>
    <font>
      <u/>
      <sz val="12"/>
      <color indexed="12"/>
      <name val="Cambria"/>
      <family val="1"/>
      <scheme val="major"/>
    </font>
    <font>
      <u/>
      <sz val="11"/>
      <color rgb="FF000078"/>
      <name val="Cambria"/>
      <family val="1"/>
      <scheme val="major"/>
    </font>
    <font>
      <sz val="10"/>
      <color theme="0"/>
      <name val="Cambria"/>
      <family val="1"/>
      <scheme val="major"/>
    </font>
    <font>
      <i/>
      <u/>
      <sz val="11"/>
      <color indexed="12"/>
      <name val="Cambria"/>
      <family val="1"/>
      <scheme val="major"/>
    </font>
    <font>
      <vertAlign val="superscript"/>
      <sz val="9"/>
      <name val="Cambria"/>
      <family val="1"/>
      <scheme val="major"/>
    </font>
    <font>
      <sz val="10"/>
      <name val="Arial"/>
      <family val="2"/>
    </font>
    <font>
      <sz val="11"/>
      <color rgb="FF008000"/>
      <name val="Cambria"/>
      <family val="1"/>
      <scheme val="major"/>
    </font>
    <font>
      <sz val="11"/>
      <color rgb="FF000080"/>
      <name val="Cambria"/>
      <family val="1"/>
      <scheme val="major"/>
    </font>
    <font>
      <vertAlign val="subscript"/>
      <sz val="9"/>
      <name val="Cambria"/>
      <family val="1"/>
      <scheme val="major"/>
    </font>
    <font>
      <sz val="8"/>
      <name val="Cambria"/>
      <family val="1"/>
      <scheme val="major"/>
    </font>
    <font>
      <vertAlign val="subscript"/>
      <sz val="8"/>
      <name val="Cambria"/>
      <family val="1"/>
      <scheme val="major"/>
    </font>
    <font>
      <vertAlign val="superscript"/>
      <sz val="8"/>
      <name val="Cambria"/>
      <family val="1"/>
      <scheme val="major"/>
    </font>
    <font>
      <b/>
      <sz val="13"/>
      <color indexed="57"/>
      <name val="Cambria"/>
      <family val="1"/>
      <scheme val="major"/>
    </font>
    <font>
      <b/>
      <sz val="11"/>
      <color rgb="FF008000"/>
      <name val="Cambria"/>
      <family val="1"/>
      <scheme val="major"/>
    </font>
    <font>
      <b/>
      <sz val="14"/>
      <color theme="9" tint="-0.249977111117893"/>
      <name val="Cambria"/>
      <family val="1"/>
      <scheme val="major"/>
    </font>
    <font>
      <b/>
      <i/>
      <sz val="14"/>
      <color theme="9" tint="-0.249977111117893"/>
      <name val="Cambria"/>
      <family val="1"/>
      <scheme val="major"/>
    </font>
    <font>
      <sz val="11"/>
      <color rgb="FF7030A0"/>
      <name val="Cambria"/>
      <family val="1"/>
      <scheme val="major"/>
    </font>
    <font>
      <u/>
      <sz val="11"/>
      <color indexed="12"/>
      <name val="Cambria"/>
      <family val="1"/>
      <scheme val="major"/>
    </font>
    <font>
      <vertAlign val="subscript"/>
      <sz val="11"/>
      <name val="Cambria"/>
      <family val="1"/>
      <scheme val="major"/>
    </font>
    <font>
      <b/>
      <sz val="8"/>
      <name val="Cambria"/>
      <family val="1"/>
      <scheme val="major"/>
    </font>
    <font>
      <b/>
      <vertAlign val="superscript"/>
      <sz val="8"/>
      <name val="Cambria"/>
      <family val="1"/>
      <scheme val="major"/>
    </font>
    <font>
      <b/>
      <sz val="12"/>
      <color rgb="FFFF0000"/>
      <name val="Cambria"/>
      <family val="1"/>
      <scheme val="major"/>
    </font>
    <font>
      <vertAlign val="superscript"/>
      <sz val="10"/>
      <name val="Cambria"/>
      <family val="1"/>
      <scheme val="major"/>
    </font>
    <font>
      <sz val="11"/>
      <color indexed="18"/>
      <name val="Cambria"/>
      <family val="1"/>
      <scheme val="major"/>
    </font>
    <font>
      <sz val="10"/>
      <color indexed="81"/>
      <name val="Cambria"/>
      <family val="1"/>
      <scheme val="major"/>
    </font>
    <font>
      <b/>
      <sz val="10"/>
      <color indexed="81"/>
      <name val="Cambria"/>
      <family val="1"/>
      <scheme val="major"/>
    </font>
    <font>
      <sz val="14"/>
      <color indexed="12"/>
      <name val="Cambria"/>
      <family val="1"/>
      <scheme val="major"/>
    </font>
    <font>
      <sz val="12"/>
      <color rgb="FF000080"/>
      <name val="Cambria"/>
      <family val="1"/>
      <scheme val="major"/>
    </font>
    <font>
      <sz val="12"/>
      <color theme="0"/>
      <name val="Cambria"/>
      <family val="1"/>
      <scheme val="major"/>
    </font>
    <font>
      <u/>
      <sz val="11"/>
      <color rgb="FF000080"/>
      <name val="Cambria"/>
      <family val="1"/>
      <scheme val="major"/>
    </font>
    <font>
      <b/>
      <sz val="12"/>
      <color theme="9" tint="-0.249977111117893"/>
      <name val="Cambria"/>
      <family val="1"/>
      <scheme val="major"/>
    </font>
    <font>
      <sz val="11"/>
      <color rgb="FFC00000"/>
      <name val="Cambria"/>
      <family val="1"/>
      <scheme val="major"/>
    </font>
    <font>
      <b/>
      <sz val="11"/>
      <color theme="9" tint="-0.249977111117893"/>
      <name val="Cambria"/>
      <family val="1"/>
      <scheme val="major"/>
    </font>
    <font>
      <sz val="7"/>
      <name val="Cambria"/>
      <family val="1"/>
      <scheme val="major"/>
    </font>
    <font>
      <i/>
      <sz val="7"/>
      <name val="Cambria"/>
      <family val="1"/>
      <scheme val="major"/>
    </font>
    <font>
      <sz val="10"/>
      <color theme="0" tint="-0.34998626667073579"/>
      <name val="Cambria"/>
      <family val="1"/>
      <scheme val="major"/>
    </font>
    <font>
      <sz val="11"/>
      <color theme="0" tint="-0.34998626667073579"/>
      <name val="Cambria"/>
      <family val="1"/>
      <scheme val="major"/>
    </font>
    <font>
      <b/>
      <u/>
      <sz val="10"/>
      <color rgb="FFC00000"/>
      <name val="Cambria"/>
      <family val="1"/>
      <scheme val="major"/>
    </font>
    <font>
      <b/>
      <sz val="10"/>
      <color rgb="FFC00000"/>
      <name val="Cambria"/>
      <family val="1"/>
      <scheme val="major"/>
    </font>
    <font>
      <b/>
      <u/>
      <sz val="11"/>
      <color rgb="FFC00000"/>
      <name val="Cambria"/>
      <family val="1"/>
      <scheme val="major"/>
    </font>
    <font>
      <b/>
      <sz val="9"/>
      <color rgb="FF7030A0"/>
      <name val="Cambria"/>
      <family val="1"/>
      <scheme val="major"/>
    </font>
    <font>
      <b/>
      <sz val="10"/>
      <color rgb="FF7030A0"/>
      <name val="Cambria"/>
      <family val="1"/>
      <scheme val="major"/>
    </font>
    <font>
      <b/>
      <vertAlign val="subscript"/>
      <sz val="14"/>
      <name val="Cambria"/>
      <family val="1"/>
      <scheme val="major"/>
    </font>
    <font>
      <sz val="11"/>
      <color rgb="FFFF4747"/>
      <name val="Cambria"/>
      <family val="1"/>
      <scheme val="major"/>
    </font>
    <font>
      <b/>
      <sz val="10"/>
      <name val="B Nazanin"/>
      <charset val="178"/>
    </font>
    <font>
      <b/>
      <sz val="11"/>
      <name val="B Nazanin"/>
      <charset val="178"/>
    </font>
    <font>
      <b/>
      <sz val="10"/>
      <name val="B Titr"/>
      <charset val="178"/>
    </font>
    <font>
      <b/>
      <sz val="12"/>
      <name val="B Titr"/>
      <charset val="178"/>
    </font>
    <font>
      <sz val="10"/>
      <name val="B Nazanin"/>
      <charset val="178"/>
    </font>
    <font>
      <b/>
      <sz val="11"/>
      <color rgb="FFFF0101"/>
      <name val="Cambria"/>
      <family val="1"/>
      <scheme val="major"/>
    </font>
    <font>
      <sz val="10"/>
      <color rgb="FFFF0000"/>
      <name val="Cambria"/>
      <family val="1"/>
      <scheme val="major"/>
    </font>
    <font>
      <sz val="11"/>
      <color rgb="FFFF0000"/>
      <name val="Cambria"/>
      <family val="1"/>
      <scheme val="major"/>
    </font>
    <font>
      <sz val="12"/>
      <color rgb="FF7030A0"/>
      <name val="Cambria"/>
      <family val="1"/>
      <scheme val="major"/>
    </font>
    <font>
      <b/>
      <sz val="12"/>
      <color rgb="FF613BED"/>
      <name val="Cambria"/>
      <family val="1"/>
      <scheme val="major"/>
    </font>
    <font>
      <b/>
      <sz val="12"/>
      <color theme="0"/>
      <name val="Cambria"/>
      <family val="1"/>
      <scheme val="major"/>
    </font>
    <font>
      <sz val="10.5"/>
      <name val="Cambria"/>
      <family val="1"/>
      <scheme val="major"/>
    </font>
  </fonts>
  <fills count="10">
    <fill>
      <patternFill patternType="none"/>
    </fill>
    <fill>
      <patternFill patternType="gray125"/>
    </fill>
    <fill>
      <patternFill patternType="solid">
        <fgColor indexed="51"/>
        <bgColor indexed="64"/>
      </patternFill>
    </fill>
    <fill>
      <patternFill patternType="solid">
        <fgColor indexed="9"/>
        <bgColor indexed="9"/>
      </patternFill>
    </fill>
    <fill>
      <patternFill patternType="solid">
        <fgColor theme="6" tint="0.5999938962981048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79998168889431442"/>
        <bgColor indexed="64"/>
      </patternFill>
    </fill>
  </fills>
  <borders count="23">
    <border>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dotted">
        <color auto="1"/>
      </top>
      <bottom style="dotted">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6" fillId="0" borderId="0" applyNumberFormat="0" applyFill="0" applyBorder="0" applyAlignment="0" applyProtection="0">
      <alignment vertical="top"/>
      <protection locked="0"/>
    </xf>
  </cellStyleXfs>
  <cellXfs count="459">
    <xf numFmtId="0" fontId="0" fillId="0" borderId="0" xfId="0"/>
    <xf numFmtId="0" fontId="0" fillId="0" borderId="0" xfId="0" applyProtection="1">
      <protection hidden="1"/>
    </xf>
    <xf numFmtId="0" fontId="2" fillId="0" borderId="0" xfId="0" applyFont="1" applyAlignment="1" applyProtection="1">
      <alignment horizontal="left" vertical="center"/>
      <protection hidden="1"/>
    </xf>
    <xf numFmtId="0" fontId="0" fillId="0" borderId="0" xfId="0" applyAlignment="1" applyProtection="1">
      <protection hidden="1"/>
    </xf>
    <xf numFmtId="0" fontId="7" fillId="0" borderId="0" xfId="0" applyFont="1" applyFill="1" applyBorder="1" applyAlignment="1" applyProtection="1">
      <alignment vertical="center"/>
      <protection hidden="1"/>
    </xf>
    <xf numFmtId="0" fontId="16" fillId="0" borderId="0" xfId="0" applyFont="1" applyBorder="1" applyAlignment="1" applyProtection="1">
      <alignment horizontal="center" vertical="center"/>
      <protection hidden="1"/>
    </xf>
    <xf numFmtId="0" fontId="7" fillId="0" borderId="0" xfId="0" applyFont="1" applyBorder="1" applyAlignment="1" applyProtection="1">
      <alignment horizontal="left" vertical="center"/>
      <protection hidden="1"/>
    </xf>
    <xf numFmtId="0" fontId="7" fillId="0" borderId="0"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0" fontId="16" fillId="0" borderId="0" xfId="0" applyFont="1" applyBorder="1" applyAlignment="1" applyProtection="1">
      <alignment vertical="center"/>
      <protection hidden="1"/>
    </xf>
    <xf numFmtId="0" fontId="7" fillId="0" borderId="11" xfId="0" applyFont="1" applyFill="1" applyBorder="1" applyAlignment="1" applyProtection="1">
      <alignment vertical="center"/>
      <protection hidden="1"/>
    </xf>
    <xf numFmtId="0" fontId="15" fillId="0" borderId="0" xfId="0" applyFont="1" applyBorder="1" applyAlignment="1" applyProtection="1">
      <alignment horizontal="left" vertical="center"/>
      <protection hidden="1"/>
    </xf>
    <xf numFmtId="0" fontId="25" fillId="0" borderId="0" xfId="0" applyFont="1" applyAlignment="1">
      <alignment horizontal="center" vertical="center"/>
    </xf>
    <xf numFmtId="0" fontId="24" fillId="0" borderId="0" xfId="0" applyFont="1" applyAlignment="1">
      <alignment horizontal="left"/>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27" fillId="0" borderId="0" xfId="0" applyFont="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14" fontId="29" fillId="0" borderId="0" xfId="0" applyNumberFormat="1" applyFont="1" applyFill="1" applyBorder="1" applyAlignment="1" applyProtection="1">
      <alignment horizontal="center" vertical="center"/>
      <protection hidden="1"/>
    </xf>
    <xf numFmtId="0" fontId="29" fillId="0" borderId="0" xfId="0" applyFont="1" applyAlignment="1" applyProtection="1">
      <alignment horizontal="center" vertical="center"/>
      <protection hidden="1"/>
    </xf>
    <xf numFmtId="165" fontId="38" fillId="0" borderId="0" xfId="0" applyNumberFormat="1" applyFont="1" applyFill="1" applyBorder="1" applyAlignment="1" applyProtection="1">
      <alignment horizontal="center" vertical="center"/>
      <protection hidden="1"/>
    </xf>
    <xf numFmtId="0" fontId="25" fillId="0" borderId="0" xfId="0" applyFont="1" applyFill="1" applyBorder="1" applyAlignment="1">
      <alignment horizontal="center" vertical="center"/>
    </xf>
    <xf numFmtId="165" fontId="28" fillId="0" borderId="0" xfId="0" applyNumberFormat="1" applyFont="1" applyFill="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47" fillId="0" borderId="0" xfId="0" applyFont="1" applyAlignment="1" applyProtection="1">
      <alignment horizontal="center" vertical="center"/>
      <protection hidden="1"/>
    </xf>
    <xf numFmtId="0" fontId="40" fillId="0" borderId="0" xfId="0" applyFont="1" applyBorder="1" applyAlignment="1" applyProtection="1">
      <alignment horizontal="center" vertical="center"/>
      <protection hidden="1"/>
    </xf>
    <xf numFmtId="0" fontId="37" fillId="0" borderId="0" xfId="0" applyFont="1" applyAlignment="1" applyProtection="1">
      <alignment horizontal="center" vertical="center"/>
      <protection hidden="1"/>
    </xf>
    <xf numFmtId="0" fontId="25" fillId="0" borderId="0" xfId="0" applyFont="1" applyProtection="1">
      <protection hidden="1"/>
    </xf>
    <xf numFmtId="0" fontId="37" fillId="0" borderId="0" xfId="0" applyFont="1" applyProtection="1">
      <protection hidden="1"/>
    </xf>
    <xf numFmtId="0" fontId="51" fillId="0" borderId="0"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7" fillId="0" borderId="0" xfId="0" applyFont="1" applyFill="1" applyAlignment="1" applyProtection="1">
      <alignment horizontal="center" vertical="center"/>
      <protection hidden="1"/>
    </xf>
    <xf numFmtId="0" fontId="43" fillId="0" borderId="0" xfId="0" applyFont="1" applyBorder="1" applyAlignment="1" applyProtection="1">
      <protection hidden="1"/>
    </xf>
    <xf numFmtId="0" fontId="27" fillId="0" borderId="0" xfId="0" applyFont="1" applyBorder="1" applyAlignment="1" applyProtection="1">
      <alignment horizontal="left" vertical="center"/>
      <protection hidden="1"/>
    </xf>
    <xf numFmtId="0" fontId="38" fillId="0" borderId="0" xfId="0" applyFont="1" applyBorder="1" applyAlignment="1" applyProtection="1">
      <alignment horizontal="center" vertical="center"/>
      <protection hidden="1"/>
    </xf>
    <xf numFmtId="0" fontId="25" fillId="0" borderId="0" xfId="0" applyFont="1" applyBorder="1" applyAlignment="1">
      <alignment horizontal="center" vertical="center"/>
    </xf>
    <xf numFmtId="0" fontId="26" fillId="0" borderId="0" xfId="0" applyFont="1" applyFill="1" applyBorder="1" applyAlignment="1" applyProtection="1">
      <alignment horizontal="center"/>
      <protection hidden="1"/>
    </xf>
    <xf numFmtId="0" fontId="45" fillId="0" borderId="0" xfId="0" applyFont="1" applyAlignment="1" applyProtection="1">
      <alignment vertical="center"/>
      <protection hidden="1"/>
    </xf>
    <xf numFmtId="0" fontId="45" fillId="0" borderId="0" xfId="0" applyFont="1" applyBorder="1" applyAlignment="1" applyProtection="1">
      <alignment horizontal="left" vertical="center"/>
      <protection hidden="1"/>
    </xf>
    <xf numFmtId="0" fontId="45" fillId="0" borderId="0" xfId="0" applyFont="1" applyBorder="1" applyAlignment="1" applyProtection="1">
      <alignment vertical="center"/>
      <protection hidden="1"/>
    </xf>
    <xf numFmtId="4" fontId="40" fillId="0" borderId="0" xfId="0" applyNumberFormat="1" applyFont="1" applyBorder="1" applyAlignment="1" applyProtection="1">
      <alignment horizontal="center" vertical="center"/>
      <protection hidden="1"/>
    </xf>
    <xf numFmtId="0" fontId="60" fillId="0" borderId="0" xfId="0" applyFont="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0" fontId="25"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pplyProtection="1">
      <alignment horizontal="center" vertical="center"/>
      <protection hidden="1"/>
    </xf>
    <xf numFmtId="168" fontId="70" fillId="0" borderId="4" xfId="0" applyNumberFormat="1" applyFont="1" applyBorder="1" applyAlignment="1" applyProtection="1">
      <alignment horizontal="center" vertical="distributed"/>
      <protection locked="0"/>
    </xf>
    <xf numFmtId="168" fontId="71" fillId="0" borderId="4" xfId="0" applyNumberFormat="1" applyFont="1" applyBorder="1" applyAlignment="1" applyProtection="1">
      <alignment horizontal="center" vertical="center"/>
      <protection hidden="1"/>
    </xf>
    <xf numFmtId="0" fontId="37" fillId="0" borderId="0" xfId="0" applyFont="1" applyAlignment="1">
      <alignment horizontal="left" vertical="center"/>
    </xf>
    <xf numFmtId="0" fontId="58" fillId="0" borderId="4" xfId="0" applyFont="1" applyFill="1" applyBorder="1" applyAlignment="1" applyProtection="1">
      <alignment horizontal="center" vertical="center"/>
      <protection hidden="1"/>
    </xf>
    <xf numFmtId="0" fontId="73" fillId="0" borderId="0" xfId="0" applyFont="1" applyBorder="1" applyAlignment="1" applyProtection="1">
      <alignment horizontal="center" vertical="center"/>
      <protection hidden="1"/>
    </xf>
    <xf numFmtId="0" fontId="16" fillId="0" borderId="12" xfId="0" applyFont="1" applyFill="1" applyBorder="1" applyAlignment="1" applyProtection="1">
      <alignment horizontal="center" vertical="center"/>
      <protection hidden="1"/>
    </xf>
    <xf numFmtId="0" fontId="25" fillId="5" borderId="4" xfId="0" applyFont="1" applyFill="1" applyBorder="1" applyAlignment="1" applyProtection="1">
      <alignment horizontal="center" vertical="center"/>
      <protection hidden="1"/>
    </xf>
    <xf numFmtId="0" fontId="61" fillId="0" borderId="0" xfId="0" applyFont="1" applyFill="1" applyBorder="1" applyAlignment="1" applyProtection="1">
      <alignment horizontal="left" vertical="center"/>
      <protection hidden="1"/>
    </xf>
    <xf numFmtId="0" fontId="25" fillId="0" borderId="0" xfId="0" applyFont="1" applyAlignment="1">
      <alignment horizontal="center" vertical="center"/>
    </xf>
    <xf numFmtId="0" fontId="27" fillId="0" borderId="0" xfId="0" applyFont="1" applyBorder="1" applyAlignment="1" applyProtection="1">
      <alignment horizontal="center" vertical="center"/>
      <protection hidden="1"/>
    </xf>
    <xf numFmtId="0" fontId="25" fillId="0" borderId="0" xfId="0"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0" fontId="61" fillId="0" borderId="3" xfId="0" applyFont="1" applyFill="1" applyBorder="1" applyAlignment="1" applyProtection="1">
      <alignment horizontal="center" vertical="center"/>
      <protection hidden="1"/>
    </xf>
    <xf numFmtId="0" fontId="58" fillId="0" borderId="3" xfId="0" applyFont="1" applyFill="1" applyBorder="1" applyAlignment="1" applyProtection="1">
      <alignment horizontal="center" vertical="center"/>
      <protection hidden="1"/>
    </xf>
    <xf numFmtId="0" fontId="32" fillId="0" borderId="19" xfId="0" applyNumberFormat="1" applyFont="1" applyFill="1" applyBorder="1" applyAlignment="1" applyProtection="1">
      <alignment horizontal="center" vertical="center"/>
      <protection hidden="1"/>
    </xf>
    <xf numFmtId="0" fontId="61" fillId="0" borderId="8"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79" fillId="0" borderId="0" xfId="0" applyFont="1" applyAlignment="1" applyProtection="1">
      <alignment vertical="center"/>
      <protection hidden="1"/>
    </xf>
    <xf numFmtId="0" fontId="78" fillId="0" borderId="0" xfId="0" applyFont="1" applyBorder="1" applyAlignment="1" applyProtection="1">
      <alignment horizontal="center" vertical="center" wrapText="1"/>
      <protection hidden="1"/>
    </xf>
    <xf numFmtId="0" fontId="78" fillId="0" borderId="0" xfId="0" applyFont="1" applyBorder="1" applyAlignment="1" applyProtection="1">
      <alignment vertical="center" wrapText="1"/>
      <protection hidden="1"/>
    </xf>
    <xf numFmtId="0" fontId="27" fillId="5" borderId="4" xfId="0" applyFont="1" applyFill="1" applyBorder="1" applyAlignment="1" applyProtection="1">
      <alignment horizontal="center" vertical="center"/>
      <protection hidden="1"/>
    </xf>
    <xf numFmtId="0" fontId="78" fillId="0" borderId="0" xfId="0" applyFont="1" applyProtection="1">
      <protection hidden="1"/>
    </xf>
    <xf numFmtId="0" fontId="27" fillId="0" borderId="0" xfId="0" applyFont="1" applyFill="1" applyBorder="1" applyAlignment="1" applyProtection="1">
      <alignment horizontal="left" vertical="distributed"/>
      <protection hidden="1"/>
    </xf>
    <xf numFmtId="0" fontId="55" fillId="0" borderId="0" xfId="0" applyFont="1" applyAlignment="1" applyProtection="1">
      <alignment vertical="center"/>
      <protection hidden="1"/>
    </xf>
    <xf numFmtId="0" fontId="49" fillId="0" borderId="0" xfId="0" applyFont="1" applyAlignment="1" applyProtection="1">
      <alignment vertical="center"/>
      <protection hidden="1"/>
    </xf>
    <xf numFmtId="0" fontId="41" fillId="0" borderId="0" xfId="0" applyFont="1" applyAlignment="1" applyProtection="1">
      <alignment vertical="center"/>
      <protection hidden="1"/>
    </xf>
    <xf numFmtId="0" fontId="26" fillId="0" borderId="0" xfId="0" applyFont="1" applyAlignment="1" applyProtection="1">
      <alignment vertical="top"/>
      <protection hidden="1"/>
    </xf>
    <xf numFmtId="170" fontId="25" fillId="0" borderId="0" xfId="0" applyNumberFormat="1" applyFont="1" applyAlignment="1" applyProtection="1">
      <alignment horizontal="center" vertical="center"/>
      <protection hidden="1"/>
    </xf>
    <xf numFmtId="0" fontId="27" fillId="0" borderId="0" xfId="0" applyFont="1" applyAlignment="1" applyProtection="1">
      <alignment vertical="top"/>
      <protection hidden="1"/>
    </xf>
    <xf numFmtId="0" fontId="27" fillId="0" borderId="0" xfId="0" applyFont="1" applyAlignment="1" applyProtection="1">
      <alignment vertical="top" wrapText="1"/>
      <protection hidden="1"/>
    </xf>
    <xf numFmtId="0" fontId="27" fillId="5" borderId="4" xfId="0" applyFont="1" applyFill="1" applyBorder="1" applyAlignment="1" applyProtection="1">
      <alignment horizontal="center" vertical="distributed"/>
      <protection hidden="1"/>
    </xf>
    <xf numFmtId="0" fontId="57" fillId="0" borderId="4" xfId="0" applyFont="1" applyFill="1" applyBorder="1" applyProtection="1">
      <protection hidden="1"/>
    </xf>
    <xf numFmtId="0" fontId="57" fillId="0" borderId="4" xfId="0" applyFont="1" applyFill="1" applyBorder="1" applyAlignment="1" applyProtection="1">
      <alignment horizontal="center" vertical="center"/>
      <protection hidden="1"/>
    </xf>
    <xf numFmtId="0" fontId="36" fillId="0" borderId="0" xfId="0" applyFont="1" applyBorder="1" applyProtection="1">
      <protection hidden="1"/>
    </xf>
    <xf numFmtId="0" fontId="25" fillId="0" borderId="0" xfId="0" applyFont="1" applyBorder="1" applyProtection="1">
      <protection hidden="1"/>
    </xf>
    <xf numFmtId="0" fontId="36" fillId="0" borderId="0" xfId="0" applyFont="1" applyProtection="1">
      <protection hidden="1"/>
    </xf>
    <xf numFmtId="0" fontId="25" fillId="0" borderId="0" xfId="0" applyFont="1" applyAlignment="1" applyProtection="1">
      <alignment vertical="distributed"/>
      <protection hidden="1"/>
    </xf>
    <xf numFmtId="0" fontId="25" fillId="0" borderId="0" xfId="0" applyFont="1" applyAlignment="1" applyProtection="1">
      <alignment horizontal="center"/>
      <protection hidden="1"/>
    </xf>
    <xf numFmtId="2" fontId="77" fillId="0" borderId="0" xfId="0" applyNumberFormat="1" applyFont="1" applyBorder="1" applyAlignment="1" applyProtection="1">
      <alignment horizontal="center" vertical="center"/>
      <protection locked="0"/>
    </xf>
    <xf numFmtId="168" fontId="71" fillId="0" borderId="0" xfId="0" applyNumberFormat="1" applyFont="1" applyBorder="1" applyAlignment="1" applyProtection="1">
      <alignment horizontal="center" vertical="center"/>
      <protection hidden="1"/>
    </xf>
    <xf numFmtId="0" fontId="57" fillId="0" borderId="0" xfId="0" applyFont="1" applyFill="1" applyBorder="1" applyAlignment="1" applyProtection="1">
      <alignment horizontal="left" vertical="distributed"/>
      <protection hidden="1"/>
    </xf>
    <xf numFmtId="0" fontId="78" fillId="0" borderId="0" xfId="0" applyFont="1" applyBorder="1" applyAlignment="1" applyProtection="1">
      <alignment vertical="top" wrapText="1" readingOrder="1"/>
      <protection hidden="1"/>
    </xf>
    <xf numFmtId="0" fontId="0" fillId="0" borderId="0" xfId="0" applyBorder="1" applyAlignment="1" applyProtection="1">
      <alignment horizontal="center" vertical="center"/>
      <protection hidden="1"/>
    </xf>
    <xf numFmtId="0" fontId="10" fillId="0" borderId="4" xfId="0" applyFont="1" applyFill="1" applyBorder="1" applyAlignment="1" applyProtection="1">
      <alignment horizontal="center" vertical="center"/>
      <protection hidden="1"/>
    </xf>
    <xf numFmtId="165" fontId="70" fillId="0" borderId="4" xfId="0" applyNumberFormat="1" applyFont="1" applyBorder="1" applyAlignment="1" applyProtection="1">
      <alignment horizontal="center" vertical="center"/>
      <protection locked="0"/>
    </xf>
    <xf numFmtId="0" fontId="27" fillId="0" borderId="0" xfId="0" applyFont="1" applyAlignment="1" applyProtection="1">
      <alignment horizontal="center" vertical="distributed"/>
      <protection hidden="1"/>
    </xf>
    <xf numFmtId="0" fontId="83" fillId="0" borderId="0" xfId="0" applyFont="1" applyAlignment="1" applyProtection="1">
      <alignment horizontal="center" vertical="distributed"/>
      <protection hidden="1"/>
    </xf>
    <xf numFmtId="0" fontId="27" fillId="0" borderId="0" xfId="0" applyFont="1" applyAlignment="1" applyProtection="1">
      <alignment vertical="distributed"/>
      <protection hidden="1"/>
    </xf>
    <xf numFmtId="0" fontId="83" fillId="0" borderId="0" xfId="0" applyFont="1" applyFill="1" applyBorder="1" applyAlignment="1" applyProtection="1">
      <alignment horizontal="center" vertical="distributed"/>
      <protection hidden="1"/>
    </xf>
    <xf numFmtId="165" fontId="39" fillId="0" borderId="4" xfId="0" applyNumberFormat="1" applyFont="1" applyBorder="1" applyAlignment="1" applyProtection="1">
      <alignment horizontal="center" vertical="distributed"/>
      <protection locked="0"/>
    </xf>
    <xf numFmtId="0" fontId="83" fillId="0" borderId="4" xfId="0" applyFont="1" applyBorder="1" applyAlignment="1" applyProtection="1">
      <alignment horizontal="center" vertical="distributed"/>
      <protection hidden="1"/>
    </xf>
    <xf numFmtId="165" fontId="28" fillId="0" borderId="4" xfId="0" applyNumberFormat="1" applyFont="1" applyBorder="1" applyAlignment="1" applyProtection="1">
      <alignment horizontal="center" vertical="distributed"/>
      <protection hidden="1"/>
    </xf>
    <xf numFmtId="0" fontId="66" fillId="0" borderId="0" xfId="0" applyFont="1" applyAlignment="1" applyProtection="1">
      <alignment horizontal="center" vertical="center"/>
      <protection hidden="1"/>
    </xf>
    <xf numFmtId="0" fontId="61" fillId="0" borderId="0" xfId="0" applyFont="1" applyBorder="1" applyAlignment="1" applyProtection="1">
      <alignment horizontal="center" vertical="center"/>
      <protection hidden="1"/>
    </xf>
    <xf numFmtId="0" fontId="66" fillId="0" borderId="0" xfId="0" applyFont="1" applyFill="1" applyAlignment="1" applyProtection="1">
      <alignment horizontal="center" vertical="center"/>
      <protection hidden="1"/>
    </xf>
    <xf numFmtId="0" fontId="57" fillId="0" borderId="0" xfId="0" applyFont="1" applyFill="1" applyBorder="1" applyAlignment="1" applyProtection="1">
      <alignment horizontal="left" vertical="center"/>
      <protection hidden="1"/>
    </xf>
    <xf numFmtId="0" fontId="71" fillId="0" borderId="0" xfId="0" applyNumberFormat="1" applyFont="1" applyFill="1" applyBorder="1" applyAlignment="1" applyProtection="1">
      <alignment horizontal="center" vertical="center"/>
      <protection hidden="1"/>
    </xf>
    <xf numFmtId="2" fontId="77" fillId="0" borderId="0" xfId="0" applyNumberFormat="1"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hidden="1"/>
    </xf>
    <xf numFmtId="168" fontId="71" fillId="0" borderId="10" xfId="0" applyNumberFormat="1" applyFont="1" applyBorder="1" applyAlignment="1" applyProtection="1">
      <alignment horizontal="center" vertical="center"/>
      <protection hidden="1"/>
    </xf>
    <xf numFmtId="0" fontId="61" fillId="0" borderId="8"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protection hidden="1"/>
    </xf>
    <xf numFmtId="0" fontId="64" fillId="0" borderId="0" xfId="1" applyFont="1" applyAlignment="1" applyProtection="1">
      <alignment horizontal="left"/>
      <protection hidden="1"/>
    </xf>
    <xf numFmtId="0" fontId="25" fillId="0" borderId="0" xfId="0" applyFont="1" applyAlignment="1" applyProtection="1">
      <alignment horizontal="center" vertical="center"/>
      <protection hidden="1"/>
    </xf>
    <xf numFmtId="165" fontId="34" fillId="0" borderId="4" xfId="0" applyNumberFormat="1"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25" fillId="0" borderId="0" xfId="0" applyFont="1" applyBorder="1" applyAlignment="1" applyProtection="1">
      <alignment horizontal="center" vertical="center"/>
      <protection hidden="1"/>
    </xf>
    <xf numFmtId="0" fontId="27" fillId="0" borderId="0" xfId="0" applyFont="1" applyBorder="1" applyAlignment="1" applyProtection="1">
      <alignment horizontal="center" vertical="center"/>
      <protection hidden="1"/>
    </xf>
    <xf numFmtId="165" fontId="34" fillId="3" borderId="4" xfId="0" applyNumberFormat="1" applyFont="1" applyFill="1" applyBorder="1" applyAlignment="1" applyProtection="1">
      <alignment horizontal="center" vertical="center"/>
      <protection hidden="1"/>
    </xf>
    <xf numFmtId="0" fontId="25" fillId="0" borderId="0" xfId="0" applyFont="1" applyAlignment="1">
      <alignment horizontal="center" vertical="center"/>
    </xf>
    <xf numFmtId="0" fontId="45" fillId="0" borderId="0" xfId="0" applyFont="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distributed"/>
      <protection hidden="1"/>
    </xf>
    <xf numFmtId="0" fontId="7" fillId="0" borderId="0" xfId="0" applyFont="1" applyFill="1" applyBorder="1" applyAlignment="1" applyProtection="1">
      <alignment horizontal="center" vertical="center"/>
      <protection hidden="1"/>
    </xf>
    <xf numFmtId="0" fontId="61" fillId="0" borderId="8"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80" fillId="0" borderId="0" xfId="0"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57" fillId="0" borderId="0" xfId="0" applyNumberFormat="1" applyFont="1" applyFill="1" applyBorder="1" applyAlignment="1" applyProtection="1">
      <alignment horizontal="left" vertical="distributed"/>
      <protection hidden="1"/>
    </xf>
    <xf numFmtId="0" fontId="80" fillId="0" borderId="0" xfId="0" applyFont="1" applyFill="1" applyBorder="1" applyAlignment="1" applyProtection="1">
      <alignment vertical="center"/>
      <protection hidden="1"/>
    </xf>
    <xf numFmtId="0" fontId="61" fillId="0" borderId="8"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87" fillId="0" borderId="0" xfId="0" applyFont="1" applyAlignment="1" applyProtection="1">
      <alignment vertical="center"/>
      <protection hidden="1"/>
    </xf>
    <xf numFmtId="168" fontId="25" fillId="0" borderId="0" xfId="0" applyNumberFormat="1" applyFont="1" applyAlignment="1">
      <alignment horizontal="center" vertical="center"/>
    </xf>
    <xf numFmtId="0" fontId="78" fillId="0" borderId="0" xfId="0" applyFont="1" applyBorder="1" applyAlignment="1" applyProtection="1">
      <alignment vertical="center" wrapText="1" readingOrder="1"/>
      <protection hidden="1"/>
    </xf>
    <xf numFmtId="0" fontId="78" fillId="0" borderId="0" xfId="0" applyFont="1" applyAlignment="1" applyProtection="1">
      <alignment vertical="center"/>
      <protection hidden="1"/>
    </xf>
    <xf numFmtId="0" fontId="37" fillId="0" borderId="0" xfId="0" applyFont="1" applyAlignment="1" applyProtection="1">
      <alignment horizontal="left" vertical="center" wrapText="1"/>
      <protection hidden="1"/>
    </xf>
    <xf numFmtId="0" fontId="17" fillId="0" borderId="0" xfId="0" applyFont="1" applyBorder="1" applyAlignment="1" applyProtection="1">
      <alignment horizontal="left"/>
      <protection hidden="1"/>
    </xf>
    <xf numFmtId="0" fontId="11" fillId="0" borderId="0" xfId="1" applyFont="1" applyBorder="1" applyAlignment="1" applyProtection="1">
      <alignment vertical="center"/>
      <protection hidden="1"/>
    </xf>
    <xf numFmtId="0" fontId="11" fillId="0" borderId="0" xfId="1" applyFont="1" applyAlignment="1" applyProtection="1">
      <alignment vertical="center"/>
      <protection hidden="1"/>
    </xf>
    <xf numFmtId="0" fontId="2" fillId="0" borderId="0" xfId="0" applyFont="1" applyProtection="1">
      <protection hidden="1"/>
    </xf>
    <xf numFmtId="0" fontId="61" fillId="0" borderId="4" xfId="0" applyFont="1" applyFill="1" applyBorder="1" applyAlignment="1" applyProtection="1">
      <alignment horizontal="center" vertical="distributed"/>
      <protection hidden="1"/>
    </xf>
    <xf numFmtId="0" fontId="32" fillId="0" borderId="4" xfId="0" applyFont="1" applyFill="1" applyBorder="1" applyAlignment="1" applyProtection="1">
      <alignment horizontal="center" vertical="distributed"/>
      <protection hidden="1"/>
    </xf>
    <xf numFmtId="0" fontId="2" fillId="0" borderId="0" xfId="0" applyFont="1" applyAlignment="1" applyProtection="1">
      <alignment horizontal="center"/>
      <protection hidden="1"/>
    </xf>
    <xf numFmtId="0" fontId="6" fillId="0" borderId="0" xfId="1" applyAlignment="1" applyProtection="1">
      <alignment horizontal="center"/>
      <protection hidden="1"/>
    </xf>
    <xf numFmtId="0" fontId="59" fillId="0" borderId="0" xfId="1" applyFont="1" applyAlignment="1" applyProtection="1">
      <protection hidden="1"/>
    </xf>
    <xf numFmtId="0" fontId="27" fillId="0" borderId="0" xfId="0" applyFont="1" applyProtection="1">
      <protection hidden="1"/>
    </xf>
    <xf numFmtId="0" fontId="27" fillId="0" borderId="0" xfId="0" applyFont="1" applyFill="1" applyAlignment="1" applyProtection="1">
      <alignment horizontal="center"/>
      <protection hidden="1"/>
    </xf>
    <xf numFmtId="0" fontId="59" fillId="0" borderId="0" xfId="1" applyFont="1" applyAlignment="1" applyProtection="1">
      <alignment horizontal="center"/>
      <protection hidden="1"/>
    </xf>
    <xf numFmtId="0" fontId="27" fillId="0" borderId="0" xfId="0" applyFont="1" applyAlignment="1" applyProtection="1">
      <alignment horizontal="center"/>
      <protection hidden="1"/>
    </xf>
    <xf numFmtId="0" fontId="37" fillId="0" borderId="0" xfId="0" applyFont="1" applyAlignment="1">
      <alignment horizontal="center" vertical="center" readingOrder="1"/>
    </xf>
    <xf numFmtId="0" fontId="27" fillId="0" borderId="0" xfId="0" applyFont="1" applyAlignment="1" applyProtection="1">
      <alignment horizontal="center" vertical="center"/>
      <protection hidden="1"/>
    </xf>
    <xf numFmtId="0" fontId="48" fillId="0" borderId="0" xfId="1" applyFont="1" applyAlignment="1" applyProtection="1">
      <alignment horizontal="center" vertical="center"/>
      <protection hidden="1"/>
    </xf>
    <xf numFmtId="0" fontId="61" fillId="0" borderId="8" xfId="0" applyFont="1" applyFill="1" applyBorder="1" applyAlignment="1" applyProtection="1">
      <alignment horizontal="center" vertical="center"/>
      <protection hidden="1"/>
    </xf>
    <xf numFmtId="0" fontId="64" fillId="0" borderId="0" xfId="1" applyFont="1" applyAlignment="1" applyProtection="1">
      <alignment horizontal="left"/>
      <protection hidden="1"/>
    </xf>
    <xf numFmtId="0" fontId="27" fillId="0" borderId="0" xfId="0" applyFont="1" applyAlignment="1" applyProtection="1">
      <alignment horizontal="center" vertical="top"/>
      <protection hidden="1"/>
    </xf>
    <xf numFmtId="0" fontId="27" fillId="0" borderId="0" xfId="0" applyFont="1" applyAlignment="1" applyProtection="1">
      <alignment horizontal="center" vertical="top" wrapText="1"/>
      <protection hidden="1"/>
    </xf>
    <xf numFmtId="0" fontId="27" fillId="5" borderId="4"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distributed"/>
      <protection hidden="1"/>
    </xf>
    <xf numFmtId="0" fontId="64" fillId="0" borderId="0" xfId="1" applyFont="1" applyAlignment="1" applyProtection="1">
      <alignment horizontal="left" vertical="center"/>
      <protection hidden="1"/>
    </xf>
    <xf numFmtId="0" fontId="25" fillId="0" borderId="0" xfId="0" applyFont="1" applyAlignment="1" applyProtection="1">
      <alignment horizontal="center" vertical="center"/>
      <protection hidden="1"/>
    </xf>
    <xf numFmtId="0" fontId="80" fillId="0" borderId="0" xfId="0" applyFont="1" applyAlignment="1">
      <alignment vertical="top" wrapText="1"/>
    </xf>
    <xf numFmtId="3" fontId="71" fillId="0" borderId="4" xfId="0" applyNumberFormat="1" applyFont="1" applyBorder="1" applyAlignment="1" applyProtection="1">
      <alignment horizontal="center" vertical="center"/>
      <protection hidden="1"/>
    </xf>
    <xf numFmtId="168" fontId="71" fillId="0" borderId="4" xfId="0" applyNumberFormat="1" applyFont="1" applyBorder="1" applyAlignment="1" applyProtection="1">
      <alignment horizontal="center" vertical="distributed"/>
      <protection hidden="1"/>
    </xf>
    <xf numFmtId="0" fontId="37" fillId="0" borderId="0" xfId="0" applyFont="1" applyAlignment="1" applyProtection="1">
      <alignment horizontal="center" vertical="center" readingOrder="1"/>
      <protection hidden="1"/>
    </xf>
    <xf numFmtId="0" fontId="80" fillId="0" borderId="0" xfId="0" applyFont="1" applyAlignment="1" applyProtection="1">
      <alignment horizontal="left" vertical="center"/>
      <protection hidden="1"/>
    </xf>
    <xf numFmtId="0" fontId="37" fillId="0" borderId="0" xfId="0" applyFont="1" applyAlignment="1" applyProtection="1">
      <alignment horizontal="left" vertical="center"/>
      <protection hidden="1"/>
    </xf>
    <xf numFmtId="167" fontId="71" fillId="0" borderId="10" xfId="0" applyNumberFormat="1" applyFont="1" applyFill="1" applyBorder="1" applyAlignment="1" applyProtection="1">
      <alignment horizontal="center" vertical="center"/>
      <protection hidden="1"/>
    </xf>
    <xf numFmtId="167" fontId="71" fillId="0" borderId="8" xfId="0" applyNumberFormat="1" applyFont="1" applyFill="1" applyBorder="1" applyAlignment="1" applyProtection="1">
      <alignment vertical="distributed"/>
      <protection hidden="1"/>
    </xf>
    <xf numFmtId="0" fontId="80" fillId="0" borderId="0" xfId="0" applyFont="1" applyAlignment="1" applyProtection="1">
      <alignment vertical="top" wrapText="1"/>
      <protection hidden="1"/>
    </xf>
    <xf numFmtId="169" fontId="71" fillId="0" borderId="4" xfId="0" applyNumberFormat="1" applyFont="1" applyBorder="1" applyAlignment="1" applyProtection="1">
      <alignment horizontal="center" vertical="center"/>
      <protection hidden="1"/>
    </xf>
    <xf numFmtId="3" fontId="71" fillId="0" borderId="4" xfId="0" applyNumberFormat="1" applyFont="1" applyBorder="1" applyAlignment="1" applyProtection="1">
      <alignment horizontal="center" vertical="distributed"/>
      <protection hidden="1"/>
    </xf>
    <xf numFmtId="0" fontId="61" fillId="5" borderId="6" xfId="0" applyFont="1" applyFill="1" applyBorder="1" applyAlignment="1" applyProtection="1">
      <alignment horizontal="center" vertical="center" wrapText="1"/>
      <protection hidden="1"/>
    </xf>
    <xf numFmtId="0" fontId="37" fillId="5" borderId="10" xfId="0" applyFont="1" applyFill="1" applyBorder="1" applyAlignment="1" applyProtection="1">
      <alignment vertical="center"/>
      <protection hidden="1"/>
    </xf>
    <xf numFmtId="0" fontId="37" fillId="5" borderId="9" xfId="0" applyFont="1" applyFill="1" applyBorder="1" applyAlignment="1" applyProtection="1">
      <alignment vertical="center"/>
      <protection hidden="1"/>
    </xf>
    <xf numFmtId="3" fontId="77" fillId="0" borderId="4" xfId="0" applyNumberFormat="1" applyFont="1" applyBorder="1" applyAlignment="1" applyProtection="1">
      <alignment horizontal="center" vertical="distributed"/>
      <protection locked="0"/>
    </xf>
    <xf numFmtId="2" fontId="71" fillId="0" borderId="4" xfId="0" applyNumberFormat="1" applyFont="1" applyBorder="1" applyAlignment="1" applyProtection="1">
      <alignment horizontal="center" vertical="center"/>
      <protection hidden="1"/>
    </xf>
    <xf numFmtId="0" fontId="27" fillId="5" borderId="4" xfId="0" applyFont="1" applyFill="1" applyBorder="1" applyAlignment="1" applyProtection="1">
      <alignment horizontal="center" vertical="distributed" wrapText="1"/>
      <protection hidden="1"/>
    </xf>
    <xf numFmtId="0" fontId="27" fillId="5" borderId="3" xfId="0" applyFont="1" applyFill="1" applyBorder="1" applyAlignment="1" applyProtection="1">
      <alignment horizontal="center" vertical="distributed" wrapText="1"/>
      <protection hidden="1"/>
    </xf>
    <xf numFmtId="4" fontId="71" fillId="0" borderId="10" xfId="0" applyNumberFormat="1" applyFont="1" applyBorder="1" applyAlignment="1" applyProtection="1">
      <alignment horizontal="center" vertical="center"/>
      <protection hidden="1"/>
    </xf>
    <xf numFmtId="0" fontId="62" fillId="0" borderId="0" xfId="0" applyFont="1" applyFill="1" applyBorder="1" applyAlignment="1">
      <alignment horizontal="center" vertical="center"/>
    </xf>
    <xf numFmtId="0" fontId="56" fillId="0" borderId="0" xfId="0" applyFont="1" applyFill="1" applyBorder="1" applyAlignment="1" applyProtection="1">
      <alignment horizontal="left" vertical="center"/>
      <protection hidden="1"/>
    </xf>
    <xf numFmtId="0" fontId="66" fillId="7" borderId="0" xfId="0" applyFont="1" applyFill="1" applyAlignment="1" applyProtection="1">
      <alignment horizontal="center" vertical="center"/>
      <protection hidden="1"/>
    </xf>
    <xf numFmtId="168" fontId="62" fillId="0" borderId="4" xfId="0" applyNumberFormat="1" applyFont="1" applyBorder="1" applyAlignment="1" applyProtection="1">
      <alignment horizontal="center" vertical="distributed"/>
      <protection hidden="1"/>
    </xf>
    <xf numFmtId="0" fontId="96" fillId="0" borderId="0" xfId="0" applyFont="1" applyBorder="1" applyAlignment="1" applyProtection="1">
      <alignment horizontal="center" vertical="top" wrapText="1"/>
      <protection hidden="1"/>
    </xf>
    <xf numFmtId="0" fontId="96" fillId="0" borderId="0" xfId="0" applyFont="1" applyBorder="1" applyAlignment="1" applyProtection="1">
      <alignment vertical="top" wrapText="1"/>
      <protection hidden="1"/>
    </xf>
    <xf numFmtId="0" fontId="69" fillId="0" borderId="0" xfId="0" applyFont="1" applyProtection="1">
      <protection hidden="1"/>
    </xf>
    <xf numFmtId="0" fontId="25" fillId="0" borderId="1" xfId="0" applyFont="1" applyFill="1" applyBorder="1" applyAlignment="1" applyProtection="1">
      <alignment horizontal="center" vertical="center"/>
      <protection hidden="1"/>
    </xf>
    <xf numFmtId="0" fontId="25" fillId="0" borderId="1" xfId="0" applyFont="1" applyFill="1" applyBorder="1" applyProtection="1">
      <protection hidden="1"/>
    </xf>
    <xf numFmtId="0" fontId="69" fillId="0" borderId="0" xfId="0" applyFont="1" applyAlignment="1" applyProtection="1">
      <alignment horizontal="center" vertical="center"/>
      <protection hidden="1"/>
    </xf>
    <xf numFmtId="0" fontId="25" fillId="0" borderId="1" xfId="0" applyFont="1" applyFill="1" applyBorder="1" applyAlignment="1" applyProtection="1">
      <alignment horizontal="left" vertical="center"/>
      <protection hidden="1"/>
    </xf>
    <xf numFmtId="1" fontId="25" fillId="0" borderId="1" xfId="0" applyNumberFormat="1" applyFont="1" applyFill="1" applyBorder="1" applyAlignment="1" applyProtection="1">
      <alignment horizontal="center" vertical="center"/>
      <protection hidden="1"/>
    </xf>
    <xf numFmtId="0" fontId="26" fillId="0" borderId="4" xfId="0" applyFont="1" applyFill="1" applyBorder="1" applyAlignment="1" applyProtection="1">
      <alignment horizontal="center" vertical="center"/>
      <protection hidden="1"/>
    </xf>
    <xf numFmtId="0" fontId="69"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0" fontId="25" fillId="0" borderId="2" xfId="0" applyFont="1" applyFill="1" applyBorder="1" applyAlignment="1" applyProtection="1">
      <alignment horizontal="left" vertical="center"/>
      <protection hidden="1"/>
    </xf>
    <xf numFmtId="0" fontId="26" fillId="0" borderId="5" xfId="0" applyFont="1" applyFill="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97" fillId="0" borderId="0" xfId="0" applyFont="1" applyAlignment="1" applyProtection="1">
      <alignment horizontal="left" vertical="center"/>
      <protection hidden="1"/>
    </xf>
    <xf numFmtId="0" fontId="99" fillId="0" borderId="0" xfId="0" applyFont="1" applyAlignment="1">
      <alignment horizontal="center" vertical="center"/>
    </xf>
    <xf numFmtId="0" fontId="100" fillId="0" borderId="0" xfId="0" applyNumberFormat="1" applyFont="1" applyAlignment="1">
      <alignment horizontal="center" vertical="center" readingOrder="1"/>
    </xf>
    <xf numFmtId="0" fontId="100" fillId="0" borderId="0" xfId="0" applyFont="1" applyAlignment="1">
      <alignment horizontal="center" vertical="center" readingOrder="1"/>
    </xf>
    <xf numFmtId="0" fontId="24" fillId="0" borderId="0" xfId="0" applyFont="1" applyAlignment="1" applyProtection="1">
      <alignment horizontal="left"/>
      <protection hidden="1"/>
    </xf>
    <xf numFmtId="0" fontId="102" fillId="0" borderId="0" xfId="1" applyFont="1" applyAlignment="1" applyProtection="1">
      <alignment horizontal="center" vertical="center"/>
      <protection hidden="1"/>
    </xf>
    <xf numFmtId="0" fontId="101" fillId="0" borderId="0" xfId="1" applyFont="1" applyAlignment="1" applyProtection="1">
      <alignment horizontal="center" vertical="center" wrapText="1"/>
      <protection hidden="1"/>
    </xf>
    <xf numFmtId="0" fontId="101" fillId="0" borderId="0" xfId="1" applyFont="1" applyAlignment="1" applyProtection="1">
      <alignment horizontal="center" vertical="center"/>
      <protection hidden="1"/>
    </xf>
    <xf numFmtId="0" fontId="34" fillId="0" borderId="4" xfId="0" applyFont="1" applyFill="1" applyBorder="1" applyAlignment="1" applyProtection="1">
      <alignment horizontal="center" vertical="center"/>
      <protection hidden="1"/>
    </xf>
    <xf numFmtId="3" fontId="34" fillId="0" borderId="4" xfId="0" applyNumberFormat="1" applyFont="1" applyFill="1" applyBorder="1" applyAlignment="1" applyProtection="1">
      <alignment horizontal="center" vertical="center"/>
      <protection hidden="1"/>
    </xf>
    <xf numFmtId="3" fontId="34" fillId="0" borderId="0" xfId="0" applyNumberFormat="1" applyFont="1" applyFill="1" applyBorder="1" applyAlignment="1" applyProtection="1">
      <alignment horizontal="center" vertical="center"/>
      <protection hidden="1"/>
    </xf>
    <xf numFmtId="0" fontId="98" fillId="0" borderId="0" xfId="0" applyFont="1" applyAlignment="1" applyProtection="1">
      <alignment horizontal="left" vertical="center"/>
      <protection hidden="1"/>
    </xf>
    <xf numFmtId="0" fontId="94" fillId="0" borderId="0" xfId="0" applyFont="1" applyBorder="1" applyAlignment="1" applyProtection="1">
      <alignment vertical="center" wrapText="1" readingOrder="1"/>
      <protection hidden="1"/>
    </xf>
    <xf numFmtId="0" fontId="94" fillId="0" borderId="0" xfId="0" applyFont="1" applyAlignment="1" applyProtection="1">
      <alignment vertical="center"/>
      <protection hidden="1"/>
    </xf>
    <xf numFmtId="0" fontId="27" fillId="4" borderId="10" xfId="0" applyFont="1" applyFill="1" applyBorder="1" applyAlignment="1" applyProtection="1">
      <alignment horizontal="left" vertical="center"/>
      <protection hidden="1"/>
    </xf>
    <xf numFmtId="0" fontId="27" fillId="4" borderId="4" xfId="0" applyFont="1" applyFill="1" applyBorder="1" applyAlignment="1" applyProtection="1">
      <alignment horizontal="left" vertical="center"/>
      <protection hidden="1"/>
    </xf>
    <xf numFmtId="0" fontId="108" fillId="0" borderId="0" xfId="0" applyFont="1" applyAlignment="1">
      <alignment horizontal="right" vertical="center" readingOrder="2"/>
    </xf>
    <xf numFmtId="0" fontId="98" fillId="0" borderId="0" xfId="0" applyFont="1" applyAlignment="1" applyProtection="1">
      <alignment vertical="center"/>
      <protection hidden="1"/>
    </xf>
    <xf numFmtId="0" fontId="108" fillId="0" borderId="0" xfId="0" applyFont="1" applyAlignment="1" applyProtection="1">
      <alignment horizontal="right" vertical="center" readingOrder="2"/>
      <protection hidden="1"/>
    </xf>
    <xf numFmtId="0" fontId="111" fillId="0" borderId="0" xfId="0" applyFont="1" applyAlignment="1" applyProtection="1">
      <alignment horizontal="center" vertical="center" readingOrder="2"/>
      <protection hidden="1"/>
    </xf>
    <xf numFmtId="0" fontId="108" fillId="0" borderId="0" xfId="0" applyFont="1" applyAlignment="1" applyProtection="1">
      <alignment horizontal="center" vertical="center" readingOrder="2"/>
      <protection hidden="1"/>
    </xf>
    <xf numFmtId="0" fontId="27" fillId="0" borderId="0" xfId="0" applyFont="1" applyAlignment="1" applyProtection="1">
      <alignment horizontal="left" vertical="center" readingOrder="1"/>
      <protection hidden="1"/>
    </xf>
    <xf numFmtId="0" fontId="109" fillId="0" borderId="0" xfId="0" applyFont="1" applyAlignment="1" applyProtection="1">
      <alignment horizontal="right" vertical="top" wrapText="1" readingOrder="2"/>
      <protection hidden="1"/>
    </xf>
    <xf numFmtId="49" fontId="27" fillId="0" borderId="0" xfId="0" applyNumberFormat="1" applyFont="1" applyAlignment="1" applyProtection="1">
      <alignment horizontal="left" vertical="center" readingOrder="1"/>
      <protection hidden="1"/>
    </xf>
    <xf numFmtId="0" fontId="110" fillId="0" borderId="0" xfId="0" applyFont="1" applyAlignment="1" applyProtection="1">
      <alignment horizontal="center" vertical="center" readingOrder="2"/>
      <protection hidden="1"/>
    </xf>
    <xf numFmtId="3" fontId="80" fillId="0" borderId="4" xfId="0" applyNumberFormat="1" applyFont="1" applyBorder="1" applyAlignment="1" applyProtection="1">
      <alignment horizontal="center" vertical="center"/>
      <protection locked="0"/>
    </xf>
    <xf numFmtId="4" fontId="99" fillId="0" borderId="0" xfId="0" applyNumberFormat="1" applyFont="1" applyAlignment="1">
      <alignment horizontal="center" vertical="center"/>
    </xf>
    <xf numFmtId="4" fontId="77" fillId="0" borderId="10" xfId="0" applyNumberFormat="1" applyFont="1" applyBorder="1" applyAlignment="1" applyProtection="1">
      <alignment horizontal="center" vertical="center"/>
      <protection locked="0"/>
    </xf>
    <xf numFmtId="0" fontId="66" fillId="0" borderId="0" xfId="0" applyFont="1" applyAlignment="1">
      <alignment horizontal="center" vertical="center"/>
    </xf>
    <xf numFmtId="0" fontId="25" fillId="0" borderId="0" xfId="0" applyFont="1" applyAlignment="1" applyProtection="1">
      <alignment horizontal="left" vertical="center" readingOrder="1"/>
      <protection hidden="1"/>
    </xf>
    <xf numFmtId="0" fontId="112" fillId="0" borderId="0" xfId="0" applyFont="1" applyAlignment="1" applyProtection="1">
      <alignment horizontal="left" vertical="center" readingOrder="2"/>
      <protection hidden="1"/>
    </xf>
    <xf numFmtId="3" fontId="16" fillId="0" borderId="4" xfId="0" applyNumberFormat="1"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80" fillId="0" borderId="0" xfId="0" applyFont="1" applyFill="1" applyBorder="1" applyAlignment="1" applyProtection="1">
      <alignment horizontal="center" vertical="center"/>
      <protection hidden="1"/>
    </xf>
    <xf numFmtId="0" fontId="114" fillId="0" borderId="0" xfId="0" applyFont="1" applyAlignment="1">
      <alignment horizontal="center" vertical="center"/>
    </xf>
    <xf numFmtId="4" fontId="71" fillId="0" borderId="4" xfId="0" applyNumberFormat="1"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61" fillId="0" borderId="8" xfId="0" applyFont="1" applyFill="1" applyBorder="1" applyAlignment="1" applyProtection="1">
      <alignment horizontal="center" vertical="center"/>
      <protection hidden="1"/>
    </xf>
    <xf numFmtId="0" fontId="80" fillId="0" borderId="0" xfId="0" applyFont="1" applyFill="1" applyBorder="1" applyAlignment="1" applyProtection="1">
      <alignment horizontal="center" vertical="center"/>
      <protection hidden="1"/>
    </xf>
    <xf numFmtId="3" fontId="117" fillId="0" borderId="4" xfId="0" applyNumberFormat="1" applyFont="1" applyBorder="1" applyAlignment="1" applyProtection="1">
      <alignment horizontal="center" vertical="center"/>
      <protection hidden="1"/>
    </xf>
    <xf numFmtId="0" fontId="25" fillId="0" borderId="0" xfId="0" applyFont="1" applyAlignment="1" applyProtection="1">
      <alignment vertical="center"/>
      <protection hidden="1"/>
    </xf>
    <xf numFmtId="0" fontId="118" fillId="0" borderId="0" xfId="0"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49" fontId="25" fillId="0" borderId="0" xfId="0" applyNumberFormat="1" applyFont="1" applyAlignment="1" applyProtection="1">
      <alignment horizontal="left" vertical="center" readingOrder="1"/>
      <protection hidden="1"/>
    </xf>
    <xf numFmtId="0" fontId="108" fillId="0" borderId="0" xfId="0" applyFont="1" applyAlignment="1" applyProtection="1">
      <alignment horizontal="center" vertical="center" readingOrder="2"/>
      <protection hidden="1"/>
    </xf>
    <xf numFmtId="0" fontId="98" fillId="0" borderId="0" xfId="0" applyFont="1" applyAlignment="1" applyProtection="1">
      <alignment horizontal="center" vertical="center"/>
      <protection hidden="1"/>
    </xf>
    <xf numFmtId="0" fontId="25" fillId="0" borderId="0" xfId="0" applyFont="1" applyAlignment="1" applyProtection="1">
      <alignment horizontal="left" vertical="top" wrapText="1" readingOrder="1"/>
      <protection hidden="1"/>
    </xf>
    <xf numFmtId="0" fontId="111" fillId="0" borderId="0" xfId="0" applyFont="1" applyAlignment="1" applyProtection="1">
      <alignment horizontal="center" vertical="center" readingOrder="2"/>
      <protection hidden="1"/>
    </xf>
    <xf numFmtId="0" fontId="110" fillId="0" borderId="0" xfId="0" applyFont="1" applyAlignment="1" applyProtection="1">
      <alignment horizontal="center" vertical="center" readingOrder="2"/>
      <protection hidden="1"/>
    </xf>
    <xf numFmtId="0" fontId="109" fillId="0" borderId="0" xfId="0" applyFont="1" applyAlignment="1" applyProtection="1">
      <alignment horizontal="right" vertical="top" wrapText="1" readingOrder="2"/>
      <protection hidden="1"/>
    </xf>
    <xf numFmtId="0" fontId="105" fillId="0" borderId="4"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105" fillId="0" borderId="3"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27" fillId="4" borderId="10" xfId="0" applyFont="1" applyFill="1" applyBorder="1" applyAlignment="1" applyProtection="1">
      <alignment horizontal="left" vertical="center"/>
      <protection hidden="1"/>
    </xf>
    <xf numFmtId="0" fontId="27" fillId="4" borderId="9" xfId="0" applyFont="1" applyFill="1" applyBorder="1" applyAlignment="1" applyProtection="1">
      <alignment horizontal="left" vertical="center"/>
      <protection hidden="1"/>
    </xf>
    <xf numFmtId="166" fontId="105" fillId="0" borderId="10" xfId="0" applyNumberFormat="1" applyFont="1" applyFill="1" applyBorder="1" applyAlignment="1" applyProtection="1">
      <alignment horizontal="center" vertical="center"/>
      <protection locked="0"/>
    </xf>
    <xf numFmtId="166" fontId="105" fillId="0" borderId="3" xfId="0" applyNumberFormat="1" applyFont="1" applyFill="1" applyBorder="1" applyAlignment="1" applyProtection="1">
      <alignment horizontal="center" vertical="center"/>
      <protection locked="0"/>
    </xf>
    <xf numFmtId="166" fontId="105" fillId="0" borderId="9"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0" fontId="48" fillId="0" borderId="0" xfId="1" applyFont="1" applyAlignment="1" applyProtection="1">
      <alignment horizontal="center" vertical="center"/>
      <protection hidden="1"/>
    </xf>
    <xf numFmtId="0" fontId="56" fillId="0" borderId="12" xfId="1" applyFont="1" applyBorder="1" applyAlignment="1" applyProtection="1">
      <alignment horizontal="center" vertical="center"/>
      <protection hidden="1"/>
    </xf>
    <xf numFmtId="0" fontId="33" fillId="0" borderId="12" xfId="0" applyFont="1" applyBorder="1" applyAlignment="1" applyProtection="1">
      <alignment horizontal="center" vertical="center"/>
      <protection hidden="1"/>
    </xf>
    <xf numFmtId="0" fontId="27" fillId="4" borderId="4" xfId="0"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27" fillId="8" borderId="20" xfId="1" applyFont="1" applyFill="1" applyBorder="1" applyAlignment="1" applyProtection="1">
      <alignment horizontal="center" vertical="center"/>
      <protection hidden="1"/>
    </xf>
    <xf numFmtId="0" fontId="27" fillId="8" borderId="21" xfId="1" applyFont="1" applyFill="1" applyBorder="1" applyAlignment="1" applyProtection="1">
      <alignment horizontal="center" vertical="center"/>
      <protection hidden="1"/>
    </xf>
    <xf numFmtId="0" fontId="27" fillId="8" borderId="22" xfId="1" applyFont="1" applyFill="1" applyBorder="1" applyAlignment="1" applyProtection="1">
      <alignment horizontal="center" vertical="center"/>
      <protection hidden="1"/>
    </xf>
    <xf numFmtId="0" fontId="103" fillId="0" borderId="0" xfId="1" applyFont="1" applyAlignment="1" applyProtection="1">
      <alignment horizontal="center" vertical="center" wrapText="1"/>
      <protection hidden="1"/>
    </xf>
    <xf numFmtId="0" fontId="27" fillId="4" borderId="4" xfId="0" applyFont="1" applyFill="1" applyBorder="1" applyAlignment="1" applyProtection="1">
      <alignment horizontal="left" vertical="center"/>
      <protection hidden="1"/>
    </xf>
    <xf numFmtId="0" fontId="104" fillId="0" borderId="4" xfId="0" applyFont="1" applyFill="1" applyBorder="1" applyAlignment="1" applyProtection="1">
      <alignment horizontal="center" vertical="center"/>
      <protection locked="0"/>
    </xf>
    <xf numFmtId="0" fontId="41" fillId="0" borderId="0" xfId="0" applyFont="1" applyAlignment="1" applyProtection="1">
      <alignment horizontal="center" vertical="center"/>
      <protection hidden="1"/>
    </xf>
    <xf numFmtId="0" fontId="27" fillId="0" borderId="0" xfId="0" applyFont="1" applyAlignment="1" applyProtection="1">
      <alignment horizontal="center" vertical="top"/>
      <protection hidden="1"/>
    </xf>
    <xf numFmtId="0" fontId="27" fillId="4" borderId="3" xfId="0" applyFont="1" applyFill="1" applyBorder="1" applyAlignment="1" applyProtection="1">
      <alignment horizontal="left" vertical="center"/>
      <protection hidden="1"/>
    </xf>
    <xf numFmtId="0" fontId="104" fillId="0" borderId="10" xfId="0" applyFont="1" applyFill="1" applyBorder="1" applyAlignment="1" applyProtection="1">
      <alignment horizontal="center" vertical="distributed"/>
      <protection locked="0"/>
    </xf>
    <xf numFmtId="0" fontId="104" fillId="0" borderId="3" xfId="0" applyFont="1" applyFill="1" applyBorder="1" applyAlignment="1" applyProtection="1">
      <alignment horizontal="center" vertical="distributed"/>
      <protection locked="0"/>
    </xf>
    <xf numFmtId="0" fontId="104" fillId="0" borderId="9" xfId="0" applyFont="1" applyFill="1" applyBorder="1" applyAlignment="1" applyProtection="1">
      <alignment horizontal="center" vertical="distributed"/>
      <protection locked="0"/>
    </xf>
    <xf numFmtId="14" fontId="105" fillId="0" borderId="4" xfId="0" applyNumberFormat="1" applyFont="1" applyFill="1" applyBorder="1" applyAlignment="1" applyProtection="1">
      <alignment horizontal="center" vertical="center"/>
      <protection locked="0"/>
    </xf>
    <xf numFmtId="0" fontId="80" fillId="0" borderId="0" xfId="0" applyFont="1" applyAlignment="1">
      <alignment horizontal="left" vertical="top" wrapText="1"/>
    </xf>
    <xf numFmtId="0" fontId="37" fillId="5" borderId="18" xfId="0" applyFont="1" applyFill="1" applyBorder="1" applyAlignment="1" applyProtection="1">
      <alignment horizontal="center" vertical="center" wrapText="1"/>
      <protection hidden="1"/>
    </xf>
    <xf numFmtId="0" fontId="37" fillId="5" borderId="6" xfId="0" applyFont="1" applyFill="1" applyBorder="1" applyAlignment="1" applyProtection="1">
      <alignment horizontal="center" vertical="center" wrapText="1"/>
      <protection hidden="1"/>
    </xf>
    <xf numFmtId="165" fontId="113" fillId="9" borderId="10" xfId="0" applyNumberFormat="1" applyFont="1" applyFill="1" applyBorder="1" applyAlignment="1" applyProtection="1">
      <alignment horizontal="left" vertical="center"/>
      <protection locked="0"/>
    </xf>
    <xf numFmtId="165" fontId="113" fillId="9" borderId="3" xfId="0" applyNumberFormat="1" applyFont="1" applyFill="1" applyBorder="1" applyAlignment="1" applyProtection="1">
      <alignment horizontal="left" vertical="center"/>
      <protection locked="0"/>
    </xf>
    <xf numFmtId="165" fontId="113" fillId="9" borderId="9" xfId="0" applyNumberFormat="1" applyFont="1" applyFill="1" applyBorder="1" applyAlignment="1" applyProtection="1">
      <alignment horizontal="left" vertical="center"/>
      <protection locked="0"/>
    </xf>
    <xf numFmtId="0" fontId="55" fillId="0" borderId="0" xfId="0" applyFont="1" applyAlignment="1" applyProtection="1">
      <alignment horizontal="center" vertical="center"/>
      <protection hidden="1"/>
    </xf>
    <xf numFmtId="0" fontId="61" fillId="0" borderId="8" xfId="0" applyFont="1" applyFill="1" applyBorder="1" applyAlignment="1" applyProtection="1">
      <alignment horizontal="left" vertical="center"/>
      <protection hidden="1"/>
    </xf>
    <xf numFmtId="0" fontId="61" fillId="0" borderId="0" xfId="0" applyFont="1" applyFill="1" applyBorder="1" applyAlignment="1" applyProtection="1">
      <alignment horizontal="left" vertical="center"/>
      <protection hidden="1"/>
    </xf>
    <xf numFmtId="167" fontId="70" fillId="0" borderId="10" xfId="0" applyNumberFormat="1" applyFont="1" applyBorder="1" applyAlignment="1" applyProtection="1">
      <alignment horizontal="center" vertical="distributed"/>
      <protection locked="0"/>
    </xf>
    <xf numFmtId="167" fontId="70" fillId="0" borderId="9" xfId="0" applyNumberFormat="1" applyFont="1" applyBorder="1" applyAlignment="1" applyProtection="1">
      <alignment horizontal="center" vertical="distributed"/>
      <protection locked="0"/>
    </xf>
    <xf numFmtId="0" fontId="37" fillId="5" borderId="10" xfId="1" applyFont="1" applyFill="1" applyBorder="1" applyAlignment="1" applyProtection="1">
      <alignment horizontal="left" vertical="center"/>
    </xf>
    <xf numFmtId="0" fontId="37" fillId="5" borderId="3" xfId="1" applyFont="1" applyFill="1" applyBorder="1" applyAlignment="1" applyProtection="1">
      <alignment horizontal="left" vertical="center"/>
    </xf>
    <xf numFmtId="0" fontId="37" fillId="5" borderId="9" xfId="1" applyFont="1" applyFill="1" applyBorder="1" applyAlignment="1" applyProtection="1">
      <alignment horizontal="left" vertical="center"/>
    </xf>
    <xf numFmtId="1" fontId="77" fillId="0" borderId="4" xfId="0" applyNumberFormat="1" applyFont="1" applyBorder="1" applyAlignment="1" applyProtection="1">
      <alignment horizontal="center" vertical="center"/>
      <protection locked="0"/>
    </xf>
    <xf numFmtId="0" fontId="80" fillId="0" borderId="4" xfId="0" applyFont="1" applyBorder="1" applyAlignment="1" applyProtection="1">
      <alignment horizontal="left" vertical="center" wrapText="1"/>
      <protection locked="0"/>
    </xf>
    <xf numFmtId="0" fontId="37" fillId="5" borderId="7" xfId="0" applyFont="1" applyFill="1" applyBorder="1" applyAlignment="1" applyProtection="1">
      <alignment horizontal="center" vertical="center" wrapText="1"/>
      <protection hidden="1"/>
    </xf>
    <xf numFmtId="0" fontId="43" fillId="5" borderId="10" xfId="0" applyFont="1" applyFill="1" applyBorder="1" applyAlignment="1" applyProtection="1">
      <alignment horizontal="left" vertical="center"/>
      <protection hidden="1"/>
    </xf>
    <xf numFmtId="0" fontId="43" fillId="5" borderId="9" xfId="0" applyFont="1" applyFill="1" applyBorder="1" applyAlignment="1" applyProtection="1">
      <alignment horizontal="left" vertical="center"/>
      <protection hidden="1"/>
    </xf>
    <xf numFmtId="0" fontId="35" fillId="0" borderId="0" xfId="0" applyFont="1" applyFill="1" applyBorder="1" applyAlignment="1" applyProtection="1">
      <alignment horizontal="center" vertical="center"/>
    </xf>
    <xf numFmtId="0" fontId="67" fillId="0" borderId="0" xfId="1" applyFont="1" applyFill="1" applyBorder="1" applyAlignment="1" applyProtection="1">
      <alignment horizontal="center" vertical="center"/>
    </xf>
    <xf numFmtId="0" fontId="57" fillId="5" borderId="4" xfId="0" applyFont="1" applyFill="1" applyBorder="1" applyAlignment="1" applyProtection="1">
      <alignment horizontal="left" vertical="distributed"/>
      <protection hidden="1"/>
    </xf>
    <xf numFmtId="164" fontId="77" fillId="0" borderId="4" xfId="0" applyNumberFormat="1" applyFont="1" applyBorder="1" applyAlignment="1" applyProtection="1">
      <alignment horizontal="center" vertical="center"/>
      <protection locked="0"/>
    </xf>
    <xf numFmtId="0" fontId="61" fillId="0" borderId="8"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57" fillId="5" borderId="10" xfId="0" applyFont="1" applyFill="1" applyBorder="1" applyAlignment="1" applyProtection="1">
      <alignment horizontal="left" vertical="distributed"/>
      <protection hidden="1"/>
    </xf>
    <xf numFmtId="0" fontId="57" fillId="5" borderId="3" xfId="0" applyFont="1" applyFill="1" applyBorder="1" applyAlignment="1" applyProtection="1">
      <alignment horizontal="left" vertical="distributed"/>
      <protection hidden="1"/>
    </xf>
    <xf numFmtId="0" fontId="57" fillId="5" borderId="9" xfId="0" applyFont="1" applyFill="1" applyBorder="1" applyAlignment="1" applyProtection="1">
      <alignment horizontal="left" vertical="distributed"/>
      <protection hidden="1"/>
    </xf>
    <xf numFmtId="0" fontId="37" fillId="5" borderId="10" xfId="0" applyFont="1" applyFill="1" applyBorder="1" applyAlignment="1" applyProtection="1">
      <alignment horizontal="center" vertical="center"/>
      <protection hidden="1"/>
    </xf>
    <xf numFmtId="0" fontId="37" fillId="5" borderId="9" xfId="0" applyFont="1" applyFill="1" applyBorder="1" applyAlignment="1" applyProtection="1">
      <alignment horizontal="center" vertical="center"/>
      <protection hidden="1"/>
    </xf>
    <xf numFmtId="0" fontId="77" fillId="0" borderId="4" xfId="0" applyNumberFormat="1" applyFont="1" applyBorder="1" applyAlignment="1" applyProtection="1">
      <alignment horizontal="center" vertical="center"/>
      <protection locked="0"/>
    </xf>
    <xf numFmtId="0" fontId="77" fillId="0" borderId="10"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2" fontId="77" fillId="0" borderId="4" xfId="0" applyNumberFormat="1" applyFont="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hidden="1"/>
    </xf>
    <xf numFmtId="0" fontId="37" fillId="5" borderId="12" xfId="0" applyFont="1" applyFill="1" applyBorder="1" applyAlignment="1" applyProtection="1">
      <alignment horizontal="center" vertical="center"/>
      <protection hidden="1"/>
    </xf>
    <xf numFmtId="0" fontId="37" fillId="5" borderId="14" xfId="0" applyFont="1" applyFill="1" applyBorder="1" applyAlignment="1" applyProtection="1">
      <alignment horizontal="center" vertical="center"/>
      <protection hidden="1"/>
    </xf>
    <xf numFmtId="0" fontId="37" fillId="5" borderId="8" xfId="0" applyFont="1" applyFill="1" applyBorder="1" applyAlignment="1" applyProtection="1">
      <alignment horizontal="center" vertical="center"/>
      <protection hidden="1"/>
    </xf>
    <xf numFmtId="0" fontId="37" fillId="5" borderId="0" xfId="0" applyFont="1" applyFill="1" applyBorder="1" applyAlignment="1" applyProtection="1">
      <alignment horizontal="center" vertical="center"/>
      <protection hidden="1"/>
    </xf>
    <xf numFmtId="0" fontId="37" fillId="5" borderId="11" xfId="0" applyFont="1" applyFill="1" applyBorder="1" applyAlignment="1" applyProtection="1">
      <alignment horizontal="center" vertical="center"/>
      <protection hidden="1"/>
    </xf>
    <xf numFmtId="0" fontId="37" fillId="5" borderId="15" xfId="0" applyFont="1" applyFill="1" applyBorder="1" applyAlignment="1" applyProtection="1">
      <alignment horizontal="center" vertical="center"/>
      <protection hidden="1"/>
    </xf>
    <xf numFmtId="0" fontId="37" fillId="5" borderId="16" xfId="0" applyFont="1" applyFill="1" applyBorder="1" applyAlignment="1" applyProtection="1">
      <alignment horizontal="center" vertical="center"/>
      <protection hidden="1"/>
    </xf>
    <xf numFmtId="0" fontId="37" fillId="5" borderId="17" xfId="0" applyFont="1" applyFill="1" applyBorder="1" applyAlignment="1" applyProtection="1">
      <alignment horizontal="center" vertical="center"/>
      <protection hidden="1"/>
    </xf>
    <xf numFmtId="0" fontId="37" fillId="5" borderId="3" xfId="0" applyFont="1" applyFill="1" applyBorder="1" applyAlignment="1" applyProtection="1">
      <alignment horizontal="center" vertical="center"/>
      <protection hidden="1"/>
    </xf>
    <xf numFmtId="168" fontId="71" fillId="0" borderId="10" xfId="0" applyNumberFormat="1" applyFont="1" applyBorder="1" applyAlignment="1" applyProtection="1">
      <alignment horizontal="center" vertical="center"/>
      <protection locked="0"/>
    </xf>
    <xf numFmtId="168" fontId="71" fillId="0" borderId="9" xfId="0" applyNumberFormat="1" applyFont="1" applyBorder="1" applyAlignment="1" applyProtection="1">
      <alignment horizontal="center" vertical="center"/>
      <protection locked="0"/>
    </xf>
    <xf numFmtId="0" fontId="57" fillId="5" borderId="10" xfId="0" applyFont="1" applyFill="1" applyBorder="1" applyAlignment="1" applyProtection="1">
      <alignment horizontal="left" vertical="center"/>
      <protection hidden="1"/>
    </xf>
    <xf numFmtId="0" fontId="57" fillId="5" borderId="3" xfId="0" applyFont="1" applyFill="1" applyBorder="1" applyAlignment="1" applyProtection="1">
      <alignment horizontal="left" vertical="center"/>
      <protection hidden="1"/>
    </xf>
    <xf numFmtId="0" fontId="57" fillId="5" borderId="9" xfId="0" applyFont="1" applyFill="1" applyBorder="1" applyAlignment="1" applyProtection="1">
      <alignment horizontal="left" vertical="center"/>
      <protection hidden="1"/>
    </xf>
    <xf numFmtId="0" fontId="71" fillId="0" borderId="10"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80" fillId="0" borderId="0" xfId="0" applyFont="1" applyFill="1" applyBorder="1" applyAlignment="1" applyProtection="1">
      <alignment horizontal="left" vertical="center" wrapText="1"/>
      <protection hidden="1"/>
    </xf>
    <xf numFmtId="0" fontId="93" fillId="0" borderId="12" xfId="1" applyFont="1" applyFill="1" applyBorder="1" applyAlignment="1" applyProtection="1">
      <alignment horizontal="center" vertical="center"/>
    </xf>
    <xf numFmtId="0" fontId="93" fillId="0" borderId="0" xfId="1" applyFont="1" applyFill="1" applyBorder="1" applyAlignment="1" applyProtection="1">
      <alignment horizontal="center" vertical="center"/>
    </xf>
    <xf numFmtId="0" fontId="93" fillId="0" borderId="12" xfId="1" applyFont="1" applyFill="1" applyBorder="1" applyAlignment="1" applyProtection="1">
      <alignment horizontal="left" vertical="center"/>
    </xf>
    <xf numFmtId="0" fontId="93" fillId="0" borderId="0" xfId="1" applyFont="1" applyFill="1" applyBorder="1" applyAlignment="1" applyProtection="1">
      <alignment horizontal="left" vertical="center"/>
    </xf>
    <xf numFmtId="0" fontId="87" fillId="0" borderId="0" xfId="0" applyFont="1" applyAlignment="1" applyProtection="1">
      <alignment horizontal="center" vertical="center" wrapText="1"/>
      <protection hidden="1"/>
    </xf>
    <xf numFmtId="0" fontId="80" fillId="0" borderId="0" xfId="0" applyFont="1" applyFill="1" applyBorder="1" applyAlignment="1" applyProtection="1">
      <alignment horizontal="center" vertical="center"/>
      <protection hidden="1"/>
    </xf>
    <xf numFmtId="0" fontId="37" fillId="5" borderId="10" xfId="0" applyFont="1" applyFill="1" applyBorder="1" applyAlignment="1" applyProtection="1">
      <alignment horizontal="left" vertical="center"/>
      <protection hidden="1"/>
    </xf>
    <xf numFmtId="0" fontId="37" fillId="5" borderId="9" xfId="0" applyFont="1" applyFill="1" applyBorder="1" applyAlignment="1" applyProtection="1">
      <alignment horizontal="left" vertical="center"/>
      <protection hidden="1"/>
    </xf>
    <xf numFmtId="0" fontId="98" fillId="0" borderId="0" xfId="0" applyFont="1" applyAlignment="1" applyProtection="1">
      <alignment horizontal="left" vertical="center"/>
      <protection hidden="1"/>
    </xf>
    <xf numFmtId="0" fontId="64" fillId="0" borderId="0" xfId="1" applyFont="1" applyAlignment="1" applyProtection="1">
      <alignment horizontal="left" vertical="center"/>
      <protection hidden="1"/>
    </xf>
    <xf numFmtId="0" fontId="107" fillId="0" borderId="0" xfId="0" applyFont="1" applyFill="1" applyAlignment="1">
      <alignment horizontal="center" vertical="center"/>
    </xf>
    <xf numFmtId="0" fontId="26" fillId="0" borderId="0" xfId="0" applyFont="1" applyAlignment="1" applyProtection="1">
      <alignment horizontal="center" vertical="top"/>
      <protection hidden="1"/>
    </xf>
    <xf numFmtId="0" fontId="78" fillId="0" borderId="0" xfId="0" applyFont="1" applyBorder="1" applyAlignment="1" applyProtection="1">
      <alignment horizontal="center" vertical="center" wrapText="1" readingOrder="1"/>
      <protection hidden="1"/>
    </xf>
    <xf numFmtId="0" fontId="37" fillId="5" borderId="3" xfId="0" applyFont="1" applyFill="1" applyBorder="1" applyAlignment="1" applyProtection="1">
      <alignment horizontal="left" vertical="center"/>
      <protection hidden="1"/>
    </xf>
    <xf numFmtId="0" fontId="70" fillId="0" borderId="10" xfId="0" applyNumberFormat="1" applyFont="1" applyBorder="1" applyAlignment="1" applyProtection="1">
      <alignment horizontal="left" vertical="center"/>
      <protection locked="0"/>
    </xf>
    <xf numFmtId="0" fontId="70" fillId="0" borderId="3" xfId="0" applyNumberFormat="1" applyFont="1" applyBorder="1" applyAlignment="1" applyProtection="1">
      <alignment horizontal="left" vertical="center"/>
      <protection locked="0"/>
    </xf>
    <xf numFmtId="0" fontId="70" fillId="0" borderId="9" xfId="0" applyNumberFormat="1" applyFont="1" applyBorder="1" applyAlignment="1" applyProtection="1">
      <alignment horizontal="left" vertical="center"/>
      <protection locked="0"/>
    </xf>
    <xf numFmtId="0" fontId="80" fillId="0" borderId="0" xfId="0" applyFont="1" applyAlignment="1">
      <alignment horizontal="left" vertical="center"/>
    </xf>
    <xf numFmtId="0" fontId="116" fillId="0" borderId="0" xfId="0" applyFont="1" applyAlignment="1" applyProtection="1">
      <alignment horizontal="center" vertical="center"/>
      <protection hidden="1"/>
    </xf>
    <xf numFmtId="9" fontId="71" fillId="0" borderId="10" xfId="0" applyNumberFormat="1" applyFont="1" applyBorder="1" applyAlignment="1" applyProtection="1">
      <alignment horizontal="center" vertical="center"/>
      <protection locked="0"/>
    </xf>
    <xf numFmtId="9" fontId="71" fillId="0" borderId="9" xfId="0" applyNumberFormat="1" applyFont="1" applyBorder="1" applyAlignment="1" applyProtection="1">
      <alignment horizontal="center" vertical="center"/>
      <protection locked="0"/>
    </xf>
    <xf numFmtId="168" fontId="71" fillId="0" borderId="18" xfId="0" applyNumberFormat="1" applyFont="1" applyBorder="1" applyAlignment="1" applyProtection="1">
      <alignment horizontal="center" vertical="distributed"/>
      <protection hidden="1"/>
    </xf>
    <xf numFmtId="168" fontId="71" fillId="0" borderId="7" xfId="0" applyNumberFormat="1" applyFont="1" applyBorder="1" applyAlignment="1" applyProtection="1">
      <alignment horizontal="center" vertical="distributed"/>
      <protection hidden="1"/>
    </xf>
    <xf numFmtId="168" fontId="71" fillId="0" borderId="6" xfId="0" applyNumberFormat="1" applyFont="1" applyBorder="1" applyAlignment="1" applyProtection="1">
      <alignment horizontal="center" vertical="distributed"/>
      <protection hidden="1"/>
    </xf>
    <xf numFmtId="0" fontId="71" fillId="0" borderId="4" xfId="0" applyFont="1" applyBorder="1" applyAlignment="1" applyProtection="1">
      <alignment horizontal="left" vertical="center"/>
      <protection hidden="1"/>
    </xf>
    <xf numFmtId="0" fontId="64" fillId="0" borderId="0" xfId="1" applyFont="1" applyAlignment="1" applyProtection="1">
      <alignment horizontal="left"/>
      <protection hidden="1"/>
    </xf>
    <xf numFmtId="0" fontId="80" fillId="0" borderId="0" xfId="0" applyFont="1" applyAlignment="1" applyProtection="1">
      <alignment horizontal="left" vertical="center"/>
      <protection hidden="1"/>
    </xf>
    <xf numFmtId="0" fontId="92" fillId="7" borderId="12" xfId="0" applyFont="1" applyFill="1" applyBorder="1" applyAlignment="1" applyProtection="1">
      <alignment horizontal="center" vertical="distributed"/>
      <protection hidden="1"/>
    </xf>
    <xf numFmtId="0" fontId="57" fillId="5" borderId="4" xfId="0" applyFont="1" applyFill="1" applyBorder="1" applyAlignment="1" applyProtection="1">
      <alignment horizontal="center" vertical="distributed"/>
      <protection hidden="1"/>
    </xf>
    <xf numFmtId="1" fontId="115" fillId="9" borderId="10" xfId="0" applyNumberFormat="1" applyFont="1" applyFill="1" applyBorder="1" applyAlignment="1" applyProtection="1">
      <alignment horizontal="center" vertical="distributed"/>
      <protection hidden="1"/>
    </xf>
    <xf numFmtId="1" fontId="115" fillId="9" borderId="9" xfId="0" applyNumberFormat="1" applyFont="1" applyFill="1" applyBorder="1" applyAlignment="1" applyProtection="1">
      <alignment horizontal="center" vertical="distributed"/>
      <protection hidden="1"/>
    </xf>
    <xf numFmtId="0" fontId="92" fillId="7" borderId="0" xfId="0" applyFont="1" applyFill="1" applyBorder="1" applyAlignment="1" applyProtection="1">
      <alignment horizontal="center" vertical="distributed"/>
      <protection hidden="1"/>
    </xf>
    <xf numFmtId="1" fontId="92" fillId="7" borderId="0" xfId="0" applyNumberFormat="1" applyFont="1" applyFill="1" applyBorder="1" applyAlignment="1" applyProtection="1">
      <alignment horizontal="center" vertical="distributed"/>
      <protection hidden="1"/>
    </xf>
    <xf numFmtId="0" fontId="80" fillId="0" borderId="0" xfId="0" applyFont="1" applyAlignment="1" applyProtection="1">
      <alignment horizontal="left" vertical="top" wrapText="1"/>
      <protection hidden="1"/>
    </xf>
    <xf numFmtId="0" fontId="91" fillId="0" borderId="4" xfId="0" applyFont="1" applyFill="1" applyBorder="1" applyAlignment="1" applyProtection="1">
      <alignment horizontal="center" vertical="distributed"/>
      <protection hidden="1"/>
    </xf>
    <xf numFmtId="1" fontId="92" fillId="7" borderId="12" xfId="0" applyNumberFormat="1" applyFont="1" applyFill="1" applyBorder="1" applyAlignment="1" applyProtection="1">
      <alignment horizontal="center" vertical="distributed"/>
      <protection hidden="1"/>
    </xf>
    <xf numFmtId="0" fontId="37" fillId="5" borderId="4" xfId="0" applyFont="1" applyFill="1" applyBorder="1" applyAlignment="1" applyProtection="1">
      <alignment horizontal="center" vertical="center"/>
      <protection hidden="1"/>
    </xf>
    <xf numFmtId="0" fontId="37" fillId="0" borderId="0" xfId="0" applyFont="1" applyAlignment="1">
      <alignment horizontal="left" vertical="center" wrapText="1" readingOrder="1"/>
    </xf>
    <xf numFmtId="0" fontId="37" fillId="0" borderId="0" xfId="0" applyFont="1" applyAlignment="1">
      <alignment horizontal="left" vertical="top" wrapText="1" readingOrder="1"/>
    </xf>
    <xf numFmtId="0" fontId="37" fillId="5" borderId="13" xfId="0" applyFont="1" applyFill="1" applyBorder="1" applyAlignment="1" applyProtection="1">
      <alignment horizontal="center" vertical="center" wrapText="1"/>
      <protection hidden="1"/>
    </xf>
    <xf numFmtId="0" fontId="37" fillId="5" borderId="14" xfId="0" applyFont="1" applyFill="1" applyBorder="1" applyAlignment="1" applyProtection="1">
      <alignment horizontal="center" vertical="center" wrapText="1"/>
      <protection hidden="1"/>
    </xf>
    <xf numFmtId="168" fontId="62" fillId="0" borderId="18" xfId="0" applyNumberFormat="1" applyFont="1" applyBorder="1" applyAlignment="1" applyProtection="1">
      <alignment horizontal="center" vertical="distributed"/>
      <protection hidden="1"/>
    </xf>
    <xf numFmtId="168" fontId="62" fillId="0" borderId="7" xfId="0" applyNumberFormat="1" applyFont="1" applyBorder="1" applyAlignment="1" applyProtection="1">
      <alignment horizontal="center" vertical="distributed"/>
      <protection hidden="1"/>
    </xf>
    <xf numFmtId="168" fontId="62" fillId="0" borderId="6" xfId="0" applyNumberFormat="1" applyFont="1" applyBorder="1" applyAlignment="1" applyProtection="1">
      <alignment horizontal="center" vertical="distributed"/>
      <protection hidden="1"/>
    </xf>
    <xf numFmtId="0" fontId="95" fillId="0" borderId="0" xfId="0" applyFont="1" applyAlignment="1">
      <alignment horizontal="center" vertical="top" readingOrder="1"/>
    </xf>
    <xf numFmtId="0" fontId="27" fillId="0" borderId="0" xfId="0" applyFont="1" applyAlignment="1" applyProtection="1">
      <alignment horizontal="center" vertical="top" wrapText="1"/>
      <protection hidden="1"/>
    </xf>
    <xf numFmtId="0" fontId="27" fillId="5" borderId="10" xfId="0" applyFont="1" applyFill="1" applyBorder="1" applyAlignment="1" applyProtection="1">
      <alignment horizontal="left" vertical="center"/>
      <protection hidden="1"/>
    </xf>
    <xf numFmtId="0" fontId="27" fillId="5" borderId="9" xfId="0" applyFont="1" applyFill="1" applyBorder="1" applyAlignment="1" applyProtection="1">
      <alignment horizontal="left" vertical="center"/>
      <protection hidden="1"/>
    </xf>
    <xf numFmtId="0" fontId="17" fillId="0" borderId="16" xfId="0" applyFont="1" applyBorder="1" applyAlignment="1" applyProtection="1">
      <alignment horizontal="center" vertical="top"/>
      <protection hidden="1"/>
    </xf>
    <xf numFmtId="0" fontId="27" fillId="0" borderId="4" xfId="0" applyFont="1" applyBorder="1" applyAlignment="1" applyProtection="1">
      <alignment horizontal="center" vertical="center"/>
      <protection hidden="1"/>
    </xf>
    <xf numFmtId="0" fontId="7" fillId="0" borderId="4" xfId="0" applyFont="1" applyBorder="1" applyAlignment="1" applyProtection="1">
      <alignment horizontal="center"/>
      <protection hidden="1"/>
    </xf>
    <xf numFmtId="0" fontId="22" fillId="2" borderId="4" xfId="0" applyFont="1" applyFill="1" applyBorder="1" applyAlignment="1" applyProtection="1">
      <alignment horizontal="left"/>
      <protection hidden="1"/>
    </xf>
    <xf numFmtId="0" fontId="43" fillId="0" borderId="4" xfId="0" applyFont="1" applyFill="1" applyBorder="1" applyAlignment="1" applyProtection="1">
      <alignment horizontal="left" vertical="center"/>
      <protection hidden="1"/>
    </xf>
    <xf numFmtId="0" fontId="61" fillId="0" borderId="4" xfId="0" applyFont="1" applyFill="1" applyBorder="1" applyAlignment="1" applyProtection="1">
      <alignment horizontal="left" vertical="distributed"/>
      <protection hidden="1"/>
    </xf>
    <xf numFmtId="0" fontId="37" fillId="0" borderId="4" xfId="0" applyFont="1" applyFill="1" applyBorder="1" applyAlignment="1" applyProtection="1">
      <alignment horizontal="center" vertical="center"/>
      <protection hidden="1"/>
    </xf>
    <xf numFmtId="0" fontId="32" fillId="0" borderId="4" xfId="0" applyFont="1" applyBorder="1" applyAlignment="1" applyProtection="1">
      <alignment horizontal="center" vertical="distributed" wrapText="1"/>
      <protection hidden="1"/>
    </xf>
    <xf numFmtId="0" fontId="32" fillId="0" borderId="4" xfId="0" applyFont="1" applyBorder="1" applyAlignment="1" applyProtection="1">
      <alignment horizontal="center" vertical="distributed"/>
      <protection hidden="1"/>
    </xf>
    <xf numFmtId="0" fontId="7" fillId="0" borderId="0" xfId="0" applyFont="1" applyBorder="1" applyAlignment="1" applyProtection="1">
      <alignment horizontal="center" vertical="top" wrapText="1"/>
      <protection hidden="1"/>
    </xf>
    <xf numFmtId="0" fontId="11" fillId="0" borderId="0" xfId="1" applyFont="1" applyAlignment="1" applyProtection="1">
      <alignment horizontal="center" vertical="center"/>
      <protection hidden="1"/>
    </xf>
    <xf numFmtId="0" fontId="26" fillId="5" borderId="4" xfId="0" applyFont="1" applyFill="1" applyBorder="1" applyAlignment="1" applyProtection="1">
      <alignment horizontal="center"/>
      <protection hidden="1"/>
    </xf>
    <xf numFmtId="0" fontId="57" fillId="5" borderId="4" xfId="0" applyFont="1" applyFill="1" applyBorder="1" applyProtection="1">
      <protection hidden="1"/>
    </xf>
    <xf numFmtId="0" fontId="43" fillId="0" borderId="4" xfId="0" applyFont="1" applyFill="1" applyBorder="1" applyAlignment="1" applyProtection="1">
      <alignment horizontal="left" vertical="distributed"/>
      <protection hidden="1"/>
    </xf>
    <xf numFmtId="0" fontId="37" fillId="0" borderId="10" xfId="0" applyFont="1" applyFill="1" applyBorder="1" applyAlignment="1" applyProtection="1">
      <alignment horizontal="center" vertical="center"/>
      <protection hidden="1"/>
    </xf>
    <xf numFmtId="0" fontId="37" fillId="0" borderId="9" xfId="0" applyFont="1" applyFill="1" applyBorder="1" applyAlignment="1" applyProtection="1">
      <alignment horizontal="center" vertical="center"/>
      <protection hidden="1"/>
    </xf>
    <xf numFmtId="0" fontId="61" fillId="5" borderId="10" xfId="0" applyFont="1" applyFill="1" applyBorder="1" applyAlignment="1" applyProtection="1">
      <alignment horizontal="center" vertical="center"/>
      <protection hidden="1"/>
    </xf>
    <xf numFmtId="0" fontId="61" fillId="5" borderId="3" xfId="0" applyFont="1" applyFill="1" applyBorder="1" applyAlignment="1" applyProtection="1">
      <alignment horizontal="center" vertical="center"/>
      <protection hidden="1"/>
    </xf>
    <xf numFmtId="0" fontId="32" fillId="0" borderId="8" xfId="0" applyNumberFormat="1" applyFont="1" applyBorder="1" applyAlignment="1" applyProtection="1">
      <alignment horizontal="center" vertical="center"/>
      <protection hidden="1"/>
    </xf>
    <xf numFmtId="0" fontId="32" fillId="0" borderId="0" xfId="0" applyNumberFormat="1" applyFont="1" applyBorder="1" applyAlignment="1" applyProtection="1">
      <alignment horizontal="center" vertical="center"/>
      <protection hidden="1"/>
    </xf>
    <xf numFmtId="0" fontId="61" fillId="5" borderId="9" xfId="0" applyFont="1" applyFill="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0" fontId="25" fillId="0" borderId="4" xfId="0" applyFont="1" applyFill="1" applyBorder="1" applyAlignment="1" applyProtection="1">
      <alignment horizontal="center" vertical="center"/>
      <protection hidden="1"/>
    </xf>
    <xf numFmtId="0" fontId="25" fillId="6" borderId="4"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protection hidden="1"/>
    </xf>
    <xf numFmtId="0" fontId="27" fillId="5" borderId="4" xfId="0" applyFont="1" applyFill="1" applyBorder="1" applyAlignment="1" applyProtection="1">
      <alignment horizontal="center" vertical="center"/>
      <protection hidden="1"/>
    </xf>
    <xf numFmtId="0" fontId="61" fillId="5" borderId="4" xfId="0" applyFont="1" applyFill="1" applyBorder="1" applyAlignment="1" applyProtection="1">
      <alignment horizontal="center" vertical="center"/>
      <protection hidden="1"/>
    </xf>
    <xf numFmtId="0" fontId="27" fillId="0" borderId="4" xfId="0" applyFont="1" applyFill="1" applyBorder="1" applyAlignment="1" applyProtection="1">
      <alignment horizontal="center" vertical="center" wrapText="1"/>
      <protection hidden="1"/>
    </xf>
    <xf numFmtId="0" fontId="27" fillId="0" borderId="4" xfId="0" applyFont="1" applyFill="1" applyBorder="1" applyAlignment="1" applyProtection="1">
      <alignment horizontal="center" vertical="center"/>
      <protection hidden="1"/>
    </xf>
    <xf numFmtId="0" fontId="32" fillId="0" borderId="19" xfId="0" applyNumberFormat="1" applyFont="1" applyBorder="1" applyAlignment="1" applyProtection="1">
      <alignment horizontal="center" vertical="center"/>
      <protection hidden="1"/>
    </xf>
    <xf numFmtId="0" fontId="94" fillId="0" borderId="0" xfId="0" applyFont="1" applyBorder="1" applyAlignment="1" applyProtection="1">
      <alignment horizontal="center" vertical="top" wrapText="1"/>
      <protection hidden="1"/>
    </xf>
    <xf numFmtId="0" fontId="25" fillId="0" borderId="0" xfId="0" applyFont="1" applyBorder="1" applyAlignment="1" applyProtection="1">
      <alignment horizontal="center" vertical="center" wrapText="1"/>
      <protection hidden="1"/>
    </xf>
    <xf numFmtId="0" fontId="64" fillId="0" borderId="0" xfId="1" applyFont="1" applyAlignment="1" applyProtection="1">
      <alignment horizontal="left" vertical="top"/>
      <protection hidden="1"/>
    </xf>
    <xf numFmtId="0" fontId="41" fillId="0" borderId="16" xfId="0" applyFont="1" applyFill="1" applyBorder="1" applyAlignment="1" applyProtection="1">
      <alignment horizontal="center" vertical="top" wrapText="1"/>
      <protection hidden="1"/>
    </xf>
    <xf numFmtId="0" fontId="64" fillId="0" borderId="0" xfId="1" applyFont="1" applyFill="1" applyBorder="1" applyAlignment="1" applyProtection="1">
      <alignment horizontal="distributed" vertical="distributed"/>
      <protection hidden="1"/>
    </xf>
    <xf numFmtId="0" fontId="96" fillId="0" borderId="0" xfId="0" applyFont="1" applyBorder="1" applyAlignment="1" applyProtection="1">
      <alignment horizontal="center" vertical="top" wrapText="1"/>
      <protection hidden="1"/>
    </xf>
    <xf numFmtId="0" fontId="63" fillId="0" borderId="0" xfId="0" applyFont="1" applyAlignment="1" applyProtection="1">
      <alignment horizontal="center" vertical="distributed"/>
      <protection hidden="1"/>
    </xf>
    <xf numFmtId="0" fontId="65" fillId="0" borderId="0" xfId="1" applyFont="1" applyFill="1" applyBorder="1" applyAlignment="1" applyProtection="1">
      <alignment horizontal="center" vertical="center"/>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distributed"/>
      <protection hidden="1"/>
    </xf>
    <xf numFmtId="0" fontId="90" fillId="0" borderId="18" xfId="1" applyFont="1" applyFill="1" applyBorder="1" applyAlignment="1" applyProtection="1">
      <alignment horizontal="center" vertical="center" textRotation="180"/>
      <protection hidden="1"/>
    </xf>
    <xf numFmtId="0" fontId="90" fillId="0" borderId="7" xfId="1" applyFont="1" applyFill="1" applyBorder="1" applyAlignment="1" applyProtection="1">
      <alignment horizontal="center" vertical="center" textRotation="180"/>
      <protection hidden="1"/>
    </xf>
    <xf numFmtId="0" fontId="90" fillId="0" borderId="6" xfId="1" applyFont="1" applyFill="1" applyBorder="1" applyAlignment="1" applyProtection="1">
      <alignment horizontal="center" vertical="center" textRotation="180"/>
      <protection hidden="1"/>
    </xf>
    <xf numFmtId="0" fontId="12" fillId="0" borderId="0" xfId="1" applyFont="1" applyAlignment="1" applyProtection="1">
      <alignment horizontal="center"/>
      <protection hidden="1"/>
    </xf>
    <xf numFmtId="0" fontId="64" fillId="0" borderId="0" xfId="1" applyFont="1" applyAlignment="1" applyProtection="1">
      <alignment horizontal="left" vertical="distributed"/>
      <protection hidden="1"/>
    </xf>
    <xf numFmtId="0" fontId="25" fillId="0" borderId="0" xfId="0" applyFont="1" applyAlignment="1" applyProtection="1">
      <alignment horizontal="left" vertical="center" wrapText="1"/>
      <protection hidden="1"/>
    </xf>
    <xf numFmtId="0" fontId="37" fillId="5" borderId="4" xfId="0" applyFont="1" applyFill="1" applyBorder="1" applyAlignment="1" applyProtection="1">
      <alignment horizontal="left" vertical="center"/>
      <protection hidden="1"/>
    </xf>
    <xf numFmtId="0" fontId="62" fillId="0" borderId="10" xfId="0" applyNumberFormat="1" applyFont="1" applyBorder="1" applyAlignment="1" applyProtection="1">
      <alignment horizontal="center" vertical="center"/>
      <protection hidden="1"/>
    </xf>
    <xf numFmtId="0" fontId="62" fillId="0" borderId="9" xfId="0" applyNumberFormat="1"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78" fillId="0" borderId="0" xfId="0" applyFont="1" applyBorder="1" applyAlignment="1" applyProtection="1">
      <alignment horizontal="center" vertical="top" wrapText="1" readingOrder="1"/>
      <protection hidden="1"/>
    </xf>
    <xf numFmtId="0" fontId="43" fillId="0" borderId="0" xfId="0" applyFont="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5" fillId="0" borderId="0" xfId="0" applyFont="1" applyAlignment="1" applyProtection="1">
      <alignment horizontal="left" vertical="center"/>
      <protection hidden="1"/>
    </xf>
    <xf numFmtId="165" fontId="34" fillId="0" borderId="4" xfId="0" applyNumberFormat="1" applyFont="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37" fillId="2" borderId="4" xfId="0" applyFont="1" applyFill="1" applyBorder="1" applyAlignment="1" applyProtection="1">
      <alignment horizontal="center" vertical="center"/>
      <protection hidden="1"/>
    </xf>
    <xf numFmtId="171" fontId="71" fillId="0" borderId="4" xfId="0" applyNumberFormat="1" applyFont="1" applyFill="1" applyBorder="1" applyAlignment="1" applyProtection="1">
      <alignment horizontal="center" vertical="center"/>
      <protection hidden="1"/>
    </xf>
    <xf numFmtId="0" fontId="37" fillId="2" borderId="4" xfId="0" applyFont="1" applyFill="1" applyBorder="1" applyAlignment="1" applyProtection="1">
      <alignment horizontal="center" vertical="distributed"/>
      <protection hidden="1"/>
    </xf>
    <xf numFmtId="0" fontId="81" fillId="2" borderId="4" xfId="1" applyFont="1" applyFill="1" applyBorder="1" applyAlignment="1" applyProtection="1">
      <alignment horizontal="center" vertical="center"/>
      <protection hidden="1"/>
    </xf>
    <xf numFmtId="165" fontId="71" fillId="0" borderId="4" xfId="0" applyNumberFormat="1" applyFont="1" applyFill="1" applyBorder="1" applyAlignment="1" applyProtection="1">
      <alignment horizontal="center" vertical="center"/>
      <protection hidden="1"/>
    </xf>
    <xf numFmtId="167" fontId="71" fillId="0" borderId="4" xfId="0" applyNumberFormat="1" applyFont="1" applyFill="1" applyBorder="1" applyAlignment="1" applyProtection="1">
      <alignment horizontal="center" vertical="center"/>
      <protection hidden="1"/>
    </xf>
    <xf numFmtId="0" fontId="37" fillId="0" borderId="0" xfId="0" applyFont="1" applyAlignment="1" applyProtection="1">
      <alignment horizontal="left" vertical="center" wrapText="1"/>
      <protection hidden="1"/>
    </xf>
    <xf numFmtId="0" fontId="85" fillId="0" borderId="0" xfId="0" applyFont="1" applyAlignment="1" applyProtection="1">
      <alignment horizontal="center" vertical="center"/>
      <protection hidden="1"/>
    </xf>
    <xf numFmtId="0" fontId="43" fillId="0" borderId="0" xfId="0" applyFont="1" applyAlignment="1" applyProtection="1">
      <alignment horizontal="center" vertical="center"/>
      <protection hidden="1"/>
    </xf>
    <xf numFmtId="0" fontId="17" fillId="0" borderId="0" xfId="0" applyFont="1" applyAlignment="1" applyProtection="1">
      <alignment horizontal="left" vertical="center"/>
      <protection hidden="1"/>
    </xf>
    <xf numFmtId="0" fontId="0" fillId="0" borderId="0" xfId="0" applyAlignment="1" applyProtection="1">
      <alignment horizontal="center"/>
      <protection hidden="1"/>
    </xf>
    <xf numFmtId="0" fontId="27" fillId="2" borderId="4" xfId="0" applyFont="1" applyFill="1" applyBorder="1" applyAlignment="1" applyProtection="1">
      <alignment horizontal="center" vertical="distributed"/>
      <protection hidden="1"/>
    </xf>
    <xf numFmtId="0" fontId="83" fillId="0" borderId="18" xfId="0" applyFont="1" applyBorder="1" applyAlignment="1" applyProtection="1">
      <alignment horizontal="center" vertical="distributed"/>
      <protection hidden="1"/>
    </xf>
    <xf numFmtId="0" fontId="83" fillId="0" borderId="6" xfId="0" applyFont="1" applyBorder="1" applyAlignment="1" applyProtection="1">
      <alignment horizontal="center" vertical="distributed"/>
      <protection hidden="1"/>
    </xf>
    <xf numFmtId="165" fontId="28" fillId="0" borderId="18" xfId="0" applyNumberFormat="1" applyFont="1" applyBorder="1" applyAlignment="1" applyProtection="1">
      <alignment horizontal="center" vertical="distributed"/>
      <protection hidden="1"/>
    </xf>
    <xf numFmtId="165" fontId="28" fillId="0" borderId="6" xfId="0" applyNumberFormat="1" applyFont="1" applyBorder="1" applyAlignment="1" applyProtection="1">
      <alignment horizontal="center" vertical="distributed"/>
      <protection hidden="1"/>
    </xf>
    <xf numFmtId="0" fontId="27" fillId="2" borderId="18" xfId="0" applyFont="1" applyFill="1" applyBorder="1" applyAlignment="1" applyProtection="1">
      <alignment horizontal="center" vertical="distributed"/>
      <protection hidden="1"/>
    </xf>
    <xf numFmtId="0" fontId="27" fillId="2" borderId="6" xfId="0" applyFont="1" applyFill="1" applyBorder="1" applyAlignment="1" applyProtection="1">
      <alignment horizontal="center" vertical="distributed"/>
      <protection hidden="1"/>
    </xf>
    <xf numFmtId="0" fontId="13" fillId="0" borderId="0" xfId="1" applyFont="1" applyAlignment="1" applyProtection="1">
      <alignment horizontal="center" vertical="center"/>
      <protection hidden="1"/>
    </xf>
    <xf numFmtId="0" fontId="14" fillId="0" borderId="0" xfId="0" applyFont="1" applyAlignment="1" applyProtection="1">
      <alignment horizontal="center"/>
      <protection hidden="1"/>
    </xf>
    <xf numFmtId="0" fontId="76" fillId="0" borderId="0" xfId="0" applyFont="1" applyAlignment="1" applyProtection="1">
      <alignment horizontal="center" vertical="center"/>
      <protection hidden="1"/>
    </xf>
    <xf numFmtId="0" fontId="7" fillId="2" borderId="4" xfId="0" applyFont="1" applyFill="1" applyBorder="1" applyAlignment="1" applyProtection="1">
      <alignment horizontal="center" vertical="center"/>
      <protection hidden="1"/>
    </xf>
    <xf numFmtId="0" fontId="25" fillId="5" borderId="18" xfId="0" applyFont="1" applyFill="1" applyBorder="1" applyAlignment="1" applyProtection="1">
      <alignment horizontal="center" vertical="center"/>
      <protection hidden="1"/>
    </xf>
    <xf numFmtId="0" fontId="119" fillId="5" borderId="18" xfId="0" applyFont="1" applyFill="1" applyBorder="1" applyAlignment="1" applyProtection="1">
      <alignment horizontal="center" vertical="center" wrapText="1"/>
      <protection hidden="1"/>
    </xf>
    <xf numFmtId="0" fontId="119" fillId="5" borderId="7" xfId="0" applyFont="1" applyFill="1" applyBorder="1" applyAlignment="1" applyProtection="1">
      <alignment horizontal="center" vertical="center" wrapText="1"/>
      <protection hidden="1"/>
    </xf>
  </cellXfs>
  <cellStyles count="2">
    <cellStyle name="Hyperlink" xfId="1" builtinId="8"/>
    <cellStyle name="Normal" xfId="0" builtinId="0"/>
  </cellStyles>
  <dxfs count="67">
    <dxf>
      <font>
        <color theme="0"/>
      </font>
      <fill>
        <patternFill>
          <bgColor theme="0"/>
        </patternFill>
      </fill>
    </dxf>
    <dxf>
      <font>
        <b/>
        <i/>
        <color theme="0"/>
      </font>
      <fill>
        <patternFill>
          <bgColor rgb="FFFF000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008000"/>
      </font>
    </dxf>
    <dxf>
      <font>
        <color rgb="FFF0301C"/>
      </font>
    </dxf>
    <dxf>
      <font>
        <color rgb="FF008000"/>
      </font>
    </dxf>
    <dxf>
      <font>
        <color rgb="FFF0301C"/>
      </font>
    </dxf>
    <dxf>
      <font>
        <color rgb="FF008000"/>
      </font>
    </dxf>
    <dxf>
      <font>
        <color rgb="FFF0301C"/>
      </font>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101"/>
      </font>
      <fill>
        <patternFill>
          <bgColor rgb="FFFF0000"/>
        </patternFill>
      </fill>
    </dxf>
    <dxf>
      <font>
        <color theme="0"/>
      </font>
      <fill>
        <patternFill>
          <bgColor theme="0"/>
        </patternFill>
      </fill>
      <border>
        <left/>
        <right/>
        <top/>
        <bottom/>
      </border>
    </dxf>
    <dxf>
      <font>
        <color rgb="FF008000"/>
      </font>
      <fill>
        <patternFill>
          <bgColor theme="0"/>
        </patternFill>
      </fill>
    </dxf>
    <dxf>
      <font>
        <color rgb="FF00800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008000"/>
      </font>
    </dxf>
    <dxf>
      <font>
        <color rgb="FFF0301C"/>
      </font>
    </dxf>
    <dxf>
      <font>
        <color rgb="FF008000"/>
      </font>
    </dxf>
    <dxf>
      <font>
        <color rgb="FFF0301C"/>
      </font>
    </dxf>
    <dxf>
      <font>
        <color rgb="FF008000"/>
      </font>
    </dxf>
    <dxf>
      <font>
        <color rgb="FFF0301C"/>
      </font>
    </dxf>
    <dxf>
      <font>
        <color rgb="FFFF4747"/>
      </font>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indexed="10"/>
        </patternFill>
      </fill>
    </dxf>
    <dxf>
      <fill>
        <patternFill>
          <bgColor indexed="12"/>
        </patternFill>
      </fill>
    </dxf>
    <dxf>
      <font>
        <color rgb="FF7030A0"/>
      </font>
      <fill>
        <patternFill>
          <bgColor theme="6" tint="0.79998168889431442"/>
        </patternFill>
      </fill>
      <border>
        <left style="dotted">
          <color auto="1"/>
        </left>
        <right style="dotted">
          <color auto="1"/>
        </right>
        <top style="dotted">
          <color auto="1"/>
        </top>
        <bottom style="dotted">
          <color auto="1"/>
        </bottom>
        <vertical/>
        <horizontal/>
      </border>
    </dxf>
    <dxf>
      <font>
        <color auto="1"/>
      </font>
      <fill>
        <patternFill>
          <bgColor rgb="FFFF0000"/>
        </patternFill>
      </fill>
      <border>
        <left style="dotted">
          <color auto="1"/>
        </left>
        <right style="dotted">
          <color auto="1"/>
        </right>
        <top style="dotted">
          <color auto="1"/>
        </top>
        <bottom style="dotted">
          <color auto="1"/>
        </bottom>
        <vertical/>
        <horizontal/>
      </border>
    </dxf>
    <dxf>
      <font>
        <b/>
        <i val="0"/>
        <color theme="0"/>
      </font>
      <fill>
        <patternFill>
          <bgColor rgb="FFFF0000"/>
        </patternFill>
      </fill>
      <border>
        <left style="dotted">
          <color auto="1"/>
        </left>
        <right style="dotted">
          <color auto="1"/>
        </right>
        <top style="dotted">
          <color auto="1"/>
        </top>
        <bottom style="dotted">
          <color auto="1"/>
        </bottom>
        <vertical/>
        <horizontal/>
      </border>
    </dxf>
    <dxf>
      <font>
        <color rgb="FF613BED"/>
      </font>
      <fill>
        <patternFill>
          <bgColor theme="6" tint="0.79998168889431442"/>
        </patternFill>
      </fill>
    </dxf>
    <dxf>
      <font>
        <condense val="0"/>
        <extend val="0"/>
        <color indexed="10"/>
      </font>
      <fill>
        <patternFill>
          <bgColor indexed="10"/>
        </patternFill>
      </fill>
    </dxf>
    <dxf>
      <font>
        <color theme="0"/>
      </font>
      <fill>
        <patternFill>
          <bgColor rgb="FFFF0000"/>
        </patternFill>
      </fill>
      <border>
        <left style="dotted">
          <color auto="1"/>
        </left>
        <right style="dotted">
          <color auto="1"/>
        </right>
        <top style="dotted">
          <color auto="1"/>
        </top>
        <bottom style="dotted">
          <color auto="1"/>
        </bottom>
        <vertical/>
        <horizontal/>
      </border>
    </dxf>
    <dxf>
      <font>
        <color theme="0"/>
      </font>
      <fill>
        <patternFill>
          <bgColor rgb="FFFF0000"/>
        </patternFill>
      </fill>
      <border>
        <left style="dotted">
          <color auto="1"/>
        </left>
        <right style="dotted">
          <color auto="1"/>
        </right>
        <top style="dotted">
          <color auto="1"/>
        </top>
        <bottom style="dotted">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rgb="FFFF0000"/>
        </patternFill>
      </fill>
      <border>
        <left style="dotted">
          <color auto="1"/>
        </left>
        <right style="dotted">
          <color auto="1"/>
        </right>
        <top style="dotted">
          <color auto="1"/>
        </top>
        <bottom style="dotted">
          <color auto="1"/>
        </bottom>
        <vertical/>
        <horizontal/>
      </border>
    </dxf>
    <dxf>
      <font>
        <color theme="0"/>
      </font>
      <fill>
        <patternFill>
          <bgColor rgb="FFFF0000"/>
        </patternFill>
      </fill>
      <border>
        <left style="dotted">
          <color auto="1"/>
        </left>
        <right style="dotted">
          <color auto="1"/>
        </right>
        <top style="dotted">
          <color auto="1"/>
        </top>
        <bottom style="dotted">
          <color auto="1"/>
        </bottom>
        <vertical/>
        <horizontal/>
      </border>
    </dxf>
    <dxf>
      <font>
        <color theme="0"/>
      </font>
      <fill>
        <patternFill>
          <bgColor rgb="FFFF0000"/>
        </patternFill>
      </fill>
      <border>
        <left style="dotted">
          <color auto="1"/>
        </left>
        <right style="dotted">
          <color auto="1"/>
        </right>
        <top style="dotted">
          <color auto="1"/>
        </top>
        <bottom style="dotted">
          <color auto="1"/>
        </bottom>
        <vertical/>
        <horizontal/>
      </border>
    </dxf>
    <dxf>
      <font>
        <color rgb="FF008000"/>
      </font>
      <fill>
        <patternFill>
          <bgColor theme="0"/>
        </patternFill>
      </fill>
    </dxf>
    <dxf>
      <font>
        <color rgb="FF008000"/>
      </font>
      <fill>
        <patternFill>
          <bgColor theme="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indexed="10"/>
        </patternFill>
      </fill>
    </dxf>
    <dxf>
      <fill>
        <patternFill>
          <bgColor indexed="14"/>
        </patternFill>
      </fill>
    </dxf>
    <dxf>
      <fill>
        <patternFill>
          <bgColor indexed="10"/>
        </patternFill>
      </fill>
    </dxf>
  </dxfs>
  <tableStyles count="0" defaultTableStyle="TableStyleMedium9" defaultPivotStyle="PivotStyleLight16"/>
  <colors>
    <mruColors>
      <color rgb="FF008000"/>
      <color rgb="FFFF0101"/>
      <color rgb="FFFF4747"/>
      <color rgb="FF000080"/>
      <color rgb="FF613BED"/>
      <color rgb="FFFF3232"/>
      <color rgb="FFF0301C"/>
      <color rgb="FF000078"/>
      <color rgb="FF4015DD"/>
      <color rgb="FF64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attachedToolbars" Target="attachedToolbars.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11</xdr:col>
      <xdr:colOff>93180</xdr:colOff>
      <xdr:row>0</xdr:row>
      <xdr:rowOff>60463</xdr:rowOff>
    </xdr:from>
    <xdr:to>
      <xdr:col>12</xdr:col>
      <xdr:colOff>705266</xdr:colOff>
      <xdr:row>5</xdr:row>
      <xdr:rowOff>1982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34619387" y="60463"/>
          <a:ext cx="1324390" cy="860889"/>
        </a:xfrm>
        <a:prstGeom prst="rect">
          <a:avLst/>
        </a:prstGeom>
      </xdr:spPr>
    </xdr:pic>
    <xdr:clientData/>
  </xdr:twoCellAnchor>
  <xdr:twoCellAnchor>
    <xdr:from>
      <xdr:col>1</xdr:col>
      <xdr:colOff>74543</xdr:colOff>
      <xdr:row>43</xdr:row>
      <xdr:rowOff>132522</xdr:rowOff>
    </xdr:from>
    <xdr:to>
      <xdr:col>5</xdr:col>
      <xdr:colOff>488674</xdr:colOff>
      <xdr:row>45</xdr:row>
      <xdr:rowOff>74543</xdr:rowOff>
    </xdr:to>
    <xdr:sp macro="" textlink="">
      <xdr:nvSpPr>
        <xdr:cNvPr id="4" name="TextBox 3"/>
        <xdr:cNvSpPr txBox="1"/>
      </xdr:nvSpPr>
      <xdr:spPr>
        <a:xfrm>
          <a:off x="10039822109" y="8613913"/>
          <a:ext cx="3263348" cy="3395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fa-IR" sz="1100" b="1">
              <a:cs typeface="B Nazanin" panose="00000400000000000000" pitchFamily="2" charset="-78"/>
            </a:rPr>
            <a:t>آشنایی با سیستم اطفاء حریق اتوماتیک پایۀ گاز دی اکسیدکربن</a:t>
          </a:r>
          <a:endParaRPr lang="en-US" sz="1100" b="1">
            <a:cs typeface="B Nazanin" panose="00000400000000000000" pitchFamily="2" charset="-78"/>
          </a:endParaRPr>
        </a:p>
      </xdr:txBody>
    </xdr:sp>
    <xdr:clientData/>
  </xdr:twoCellAnchor>
  <mc:AlternateContent xmlns:mc="http://schemas.openxmlformats.org/markup-compatibility/2006">
    <mc:Choice xmlns:a14="http://schemas.microsoft.com/office/drawing/2010/main" Requires="a14">
      <xdr:twoCellAnchor editAs="absolute">
        <xdr:from>
          <xdr:col>5</xdr:col>
          <xdr:colOff>495300</xdr:colOff>
          <xdr:row>42</xdr:row>
          <xdr:rowOff>200025</xdr:rowOff>
        </xdr:from>
        <xdr:to>
          <xdr:col>6</xdr:col>
          <xdr:colOff>552450</xdr:colOff>
          <xdr:row>46</xdr:row>
          <xdr:rowOff>38100</xdr:rowOff>
        </xdr:to>
        <xdr:sp macro="" textlink="">
          <xdr:nvSpPr>
            <xdr:cNvPr id="103429" name="Object 5" hidden="1">
              <a:extLst>
                <a:ext uri="{63B3BB69-23CF-44E3-9099-C40C66FF867C}">
                  <a14:compatExt spid="_x0000_s103429"/>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240207</xdr:colOff>
      <xdr:row>13</xdr:row>
      <xdr:rowOff>99389</xdr:rowOff>
    </xdr:from>
    <xdr:to>
      <xdr:col>13</xdr:col>
      <xdr:colOff>289109</xdr:colOff>
      <xdr:row>49</xdr:row>
      <xdr:rowOff>132518</xdr:rowOff>
    </xdr:to>
    <xdr:pic>
      <xdr:nvPicPr>
        <xdr:cNvPr id="2" name="Picture 1"/>
        <xdr:cNvPicPr>
          <a:picLocks noChangeAspect="1"/>
        </xdr:cNvPicPr>
      </xdr:nvPicPr>
      <xdr:blipFill>
        <a:blip xmlns:r="http://schemas.openxmlformats.org/officeDocument/2006/relationships" r:embed="rId1"/>
        <a:stretch>
          <a:fillRect/>
        </a:stretch>
      </xdr:blipFill>
      <xdr:spPr>
        <a:xfrm>
          <a:off x="240207" y="2484780"/>
          <a:ext cx="8845032" cy="6062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14</xdr:row>
      <xdr:rowOff>161925</xdr:rowOff>
    </xdr:from>
    <xdr:to>
      <xdr:col>19</xdr:col>
      <xdr:colOff>19051</xdr:colOff>
      <xdr:row>16</xdr:row>
      <xdr:rowOff>66675</xdr:rowOff>
    </xdr:to>
    <xdr:grpSp>
      <xdr:nvGrpSpPr>
        <xdr:cNvPr id="4" name="Group 3"/>
        <xdr:cNvGrpSpPr/>
      </xdr:nvGrpSpPr>
      <xdr:grpSpPr>
        <a:xfrm>
          <a:off x="817245" y="4269105"/>
          <a:ext cx="7240906" cy="2632710"/>
          <a:chOff x="4552951" y="5695949"/>
          <a:chExt cx="4445000" cy="1666875"/>
        </a:xfrm>
      </xdr:grpSpPr>
      <xdr:pic>
        <xdr:nvPicPr>
          <xdr:cNvPr id="5" name="Picture 4"/>
          <xdr:cNvPicPr>
            <a:picLocks noChangeAspect="1"/>
          </xdr:cNvPicPr>
        </xdr:nvPicPr>
        <xdr:blipFill>
          <a:blip xmlns:r="http://schemas.openxmlformats.org/officeDocument/2006/relationships" r:embed="rId1"/>
          <a:stretch>
            <a:fillRect/>
          </a:stretch>
        </xdr:blipFill>
        <xdr:spPr>
          <a:xfrm>
            <a:off x="4552951" y="5695949"/>
            <a:ext cx="4445000" cy="1666875"/>
          </a:xfrm>
          <a:prstGeom prst="rect">
            <a:avLst/>
          </a:prstGeom>
        </xdr:spPr>
      </xdr:pic>
      <xdr:sp macro="" textlink="">
        <xdr:nvSpPr>
          <xdr:cNvPr id="6" name="Rectangle 5"/>
          <xdr:cNvSpPr/>
        </xdr:nvSpPr>
        <xdr:spPr>
          <a:xfrm>
            <a:off x="6129337" y="6191249"/>
            <a:ext cx="569459" cy="1782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xdr:cNvSpPr txBox="1"/>
        </xdr:nvSpPr>
        <xdr:spPr>
          <a:xfrm>
            <a:off x="6483020" y="6191767"/>
            <a:ext cx="289322" cy="259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rPr>
              <a:t>H</a:t>
            </a:r>
          </a:p>
        </xdr:txBody>
      </xdr:sp>
      <xdr:sp macro="" textlink="">
        <xdr:nvSpPr>
          <xdr:cNvPr id="9" name="Rectangle 8"/>
          <xdr:cNvSpPr/>
        </xdr:nvSpPr>
        <xdr:spPr>
          <a:xfrm>
            <a:off x="7502639" y="6364061"/>
            <a:ext cx="580004" cy="1197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TextBox 9"/>
          <xdr:cNvSpPr txBox="1"/>
        </xdr:nvSpPr>
        <xdr:spPr>
          <a:xfrm>
            <a:off x="7717968" y="6335580"/>
            <a:ext cx="174172" cy="179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rPr>
              <a:t>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200026</xdr:colOff>
      <xdr:row>24</xdr:row>
      <xdr:rowOff>123824</xdr:rowOff>
    </xdr:from>
    <xdr:to>
      <xdr:col>15</xdr:col>
      <xdr:colOff>454026</xdr:colOff>
      <xdr:row>33</xdr:row>
      <xdr:rowOff>76199</xdr:rowOff>
    </xdr:to>
    <xdr:grpSp>
      <xdr:nvGrpSpPr>
        <xdr:cNvPr id="10" name="Group 9"/>
        <xdr:cNvGrpSpPr/>
      </xdr:nvGrpSpPr>
      <xdr:grpSpPr>
        <a:xfrm>
          <a:off x="5198746" y="5572124"/>
          <a:ext cx="4559300" cy="1666875"/>
          <a:chOff x="4552951" y="5695949"/>
          <a:chExt cx="4445000" cy="166687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4552951" y="5695949"/>
            <a:ext cx="4445000" cy="1666875"/>
          </a:xfrm>
          <a:prstGeom prst="rect">
            <a:avLst/>
          </a:prstGeom>
        </xdr:spPr>
      </xdr:pic>
      <xdr:sp macro="" textlink="">
        <xdr:nvSpPr>
          <xdr:cNvPr id="4" name="Rectangle 3"/>
          <xdr:cNvSpPr/>
        </xdr:nvSpPr>
        <xdr:spPr>
          <a:xfrm>
            <a:off x="5476875" y="6076950"/>
            <a:ext cx="1221921" cy="3714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xdr:cNvSpPr txBox="1"/>
        </xdr:nvSpPr>
        <xdr:spPr>
          <a:xfrm>
            <a:off x="6361509" y="6155530"/>
            <a:ext cx="289322" cy="259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mj-lt"/>
              </a:rPr>
              <a:t>H</a:t>
            </a:r>
          </a:p>
        </xdr:txBody>
      </xdr:sp>
      <xdr:sp macro="" textlink="">
        <xdr:nvSpPr>
          <xdr:cNvPr id="9" name="Rectangle 8"/>
          <xdr:cNvSpPr/>
        </xdr:nvSpPr>
        <xdr:spPr>
          <a:xfrm>
            <a:off x="7502639" y="6364061"/>
            <a:ext cx="580004" cy="1197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TextBox 7"/>
          <xdr:cNvSpPr txBox="1"/>
        </xdr:nvSpPr>
        <xdr:spPr>
          <a:xfrm>
            <a:off x="7654016" y="6293303"/>
            <a:ext cx="174172" cy="179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mj-lt"/>
              </a:rPr>
              <a:t>A</a:t>
            </a:r>
          </a:p>
        </xdr:txBody>
      </xdr:sp>
      <xdr:sp macro="" textlink="">
        <xdr:nvSpPr>
          <xdr:cNvPr id="7" name="TextBox 6"/>
          <xdr:cNvSpPr txBox="1"/>
        </xdr:nvSpPr>
        <xdr:spPr>
          <a:xfrm>
            <a:off x="5956695" y="6629400"/>
            <a:ext cx="848916" cy="39290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mj-lt"/>
              </a:rPr>
              <a:t>Uncloseable Opening</a:t>
            </a:r>
          </a:p>
        </xdr:txBody>
      </xdr:sp>
    </xdr:grpSp>
    <xdr:clientData/>
  </xdr:twoCellAnchor>
  <xdr:twoCellAnchor editAs="oneCell">
    <xdr:from>
      <xdr:col>0</xdr:col>
      <xdr:colOff>0</xdr:colOff>
      <xdr:row>5</xdr:row>
      <xdr:rowOff>19051</xdr:rowOff>
    </xdr:from>
    <xdr:to>
      <xdr:col>9</xdr:col>
      <xdr:colOff>605521</xdr:colOff>
      <xdr:row>36</xdr:row>
      <xdr:rowOff>114301</xdr:rowOff>
    </xdr:to>
    <xdr:pic>
      <xdr:nvPicPr>
        <xdr:cNvPr id="2" name="Picture 1"/>
        <xdr:cNvPicPr>
          <a:picLocks noChangeAspect="1"/>
        </xdr:cNvPicPr>
      </xdr:nvPicPr>
      <xdr:blipFill>
        <a:blip xmlns:r="http://schemas.openxmlformats.org/officeDocument/2006/relationships" r:embed="rId2"/>
        <a:stretch>
          <a:fillRect/>
        </a:stretch>
      </xdr:blipFill>
      <xdr:spPr>
        <a:xfrm>
          <a:off x="0" y="19051"/>
          <a:ext cx="6091921" cy="6000750"/>
        </a:xfrm>
        <a:prstGeom prst="rect">
          <a:avLst/>
        </a:prstGeom>
      </xdr:spPr>
    </xdr:pic>
    <xdr:clientData/>
  </xdr:twoCellAnchor>
  <xdr:twoCellAnchor>
    <xdr:from>
      <xdr:col>9</xdr:col>
      <xdr:colOff>571501</xdr:colOff>
      <xdr:row>29</xdr:row>
      <xdr:rowOff>133351</xdr:rowOff>
    </xdr:from>
    <xdr:to>
      <xdr:col>10</xdr:col>
      <xdr:colOff>114300</xdr:colOff>
      <xdr:row>31</xdr:row>
      <xdr:rowOff>180975</xdr:rowOff>
    </xdr:to>
    <xdr:sp macro="" textlink="">
      <xdr:nvSpPr>
        <xdr:cNvPr id="11" name="Rectangle 10"/>
        <xdr:cNvSpPr/>
      </xdr:nvSpPr>
      <xdr:spPr>
        <a:xfrm>
          <a:off x="6057901" y="6524626"/>
          <a:ext cx="504824" cy="4286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2.bin"/><Relationship Id="rId5" Type="http://schemas.openxmlformats.org/officeDocument/2006/relationships/comments" Target="../comments5.xml"/><Relationship Id="rId4" Type="http://schemas.openxmlformats.org/officeDocument/2006/relationships/vmlDrawing" Target="../drawings/vmlDrawing16.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0"/>
  </sheetPr>
  <dimension ref="A1:U43"/>
  <sheetViews>
    <sheetView topLeftCell="E1" workbookViewId="0">
      <selection activeCell="F11" sqref="F11"/>
    </sheetView>
  </sheetViews>
  <sheetFormatPr defaultColWidth="9.140625" defaultRowHeight="12.75" x14ac:dyDescent="0.2"/>
  <cols>
    <col min="1" max="1" width="11.7109375" style="1" bestFit="1" customWidth="1"/>
    <col min="2" max="2" width="13.140625" style="1" bestFit="1" customWidth="1"/>
    <col min="3" max="4" width="13.140625" style="1" customWidth="1"/>
    <col min="5" max="5" width="16.7109375" style="1" bestFit="1" customWidth="1"/>
    <col min="6" max="6" width="5.7109375" style="1" customWidth="1"/>
    <col min="7" max="9" width="9.140625" style="1"/>
    <col min="10" max="10" width="39.5703125" style="1" bestFit="1" customWidth="1"/>
    <col min="11" max="11" width="22.85546875" style="1" bestFit="1" customWidth="1"/>
    <col min="12" max="12" width="22.85546875" style="1" customWidth="1"/>
    <col min="13" max="13" width="39.5703125" style="1" bestFit="1" customWidth="1"/>
    <col min="14" max="14" width="22.85546875" style="1" bestFit="1" customWidth="1"/>
    <col min="15" max="15" width="22.85546875" style="1" customWidth="1"/>
    <col min="16" max="16" width="22.85546875" style="1" bestFit="1" customWidth="1"/>
    <col min="17" max="20" width="30.7109375" style="1" customWidth="1"/>
    <col min="21" max="16384" width="9.140625" style="1"/>
  </cols>
  <sheetData>
    <row r="1" spans="1:21" ht="27" x14ac:dyDescent="0.25">
      <c r="C1" s="187" t="s">
        <v>114</v>
      </c>
      <c r="D1" s="187" t="s">
        <v>82</v>
      </c>
      <c r="J1" s="188" t="s">
        <v>5</v>
      </c>
      <c r="K1" s="189" t="s">
        <v>111</v>
      </c>
      <c r="L1" s="189"/>
      <c r="M1" s="188" t="s">
        <v>5</v>
      </c>
      <c r="N1" s="189" t="s">
        <v>111</v>
      </c>
      <c r="O1" s="189"/>
      <c r="P1" s="157" t="s">
        <v>5</v>
      </c>
      <c r="Q1" s="79" t="s">
        <v>111</v>
      </c>
      <c r="R1" s="179"/>
      <c r="S1" s="178" t="s">
        <v>227</v>
      </c>
      <c r="T1" s="179"/>
      <c r="U1" s="189" t="s">
        <v>51</v>
      </c>
    </row>
    <row r="2" spans="1:21" ht="15.75" x14ac:dyDescent="0.25">
      <c r="A2" s="187" t="s">
        <v>114</v>
      </c>
      <c r="B2" s="187" t="s">
        <v>115</v>
      </c>
      <c r="C2" s="187" t="s">
        <v>207</v>
      </c>
      <c r="D2" s="187" t="s">
        <v>118</v>
      </c>
      <c r="E2" s="190" t="str">
        <f t="shared" ref="E2:E7" si="0">IF(Fire_Type=1,C2,IF(AND(Fire_Type=2,D2&lt;&gt;0),D2,""))</f>
        <v>7 min.</v>
      </c>
      <c r="F2" s="190">
        <v>7</v>
      </c>
      <c r="G2" s="1">
        <v>1</v>
      </c>
      <c r="H2" s="190" t="s">
        <v>183</v>
      </c>
      <c r="J2" s="191" t="str">
        <f>IF(CO2_Standards="NFPA 12",'raw data'!M2,IF(CO2_Standards="BS 5306 - 4",'raw data'!P2))</f>
        <v>Acetylene</v>
      </c>
      <c r="K2" s="192">
        <f>IF(CO2_Standards="NFPA 12",'raw data'!N2,IF(CO2_Standards="BS 5306 - 4",'raw data'!Q2))</f>
        <v>66</v>
      </c>
      <c r="L2" s="192">
        <f>IF(CO2_Standards="NFPA 12",'raw data'!O2,IF(CO2_Standards="BS 5306 - 4",'raw data'!R2))</f>
        <v>0</v>
      </c>
      <c r="M2" s="191" t="s">
        <v>6</v>
      </c>
      <c r="N2" s="193">
        <v>66</v>
      </c>
      <c r="O2" s="158">
        <f>IF(S.F._Fule_Type=M2,'raw data'!N2,0)</f>
        <v>0</v>
      </c>
      <c r="P2" s="80" t="s">
        <v>6</v>
      </c>
      <c r="Q2" s="81">
        <v>66</v>
      </c>
      <c r="R2" s="158">
        <f>IF(S.F._Fule_Type=P2,'raw data'!Q2,0)</f>
        <v>0</v>
      </c>
      <c r="S2" s="81">
        <v>2.5</v>
      </c>
      <c r="T2" s="158">
        <f>IF(S.F._Fule_Type=P2,'raw data'!S2,0)</f>
        <v>0</v>
      </c>
      <c r="U2" s="1" t="str">
        <f>S.F._Fule_Type</f>
        <v>Methane</v>
      </c>
    </row>
    <row r="3" spans="1:21" ht="15.75" x14ac:dyDescent="0.25">
      <c r="A3" s="187" t="s">
        <v>82</v>
      </c>
      <c r="B3" s="187" t="s">
        <v>117</v>
      </c>
      <c r="C3" s="187" t="s">
        <v>218</v>
      </c>
      <c r="D3" s="187" t="s">
        <v>206</v>
      </c>
      <c r="E3" s="190" t="str">
        <f t="shared" si="0"/>
        <v>7 min. (30% in 2 min.)</v>
      </c>
      <c r="F3" s="190">
        <v>8</v>
      </c>
      <c r="G3" s="1">
        <v>2</v>
      </c>
      <c r="H3" s="190" t="s">
        <v>103</v>
      </c>
      <c r="J3" s="191" t="str">
        <f>IF(CO2_Standards="NFPA 12",'raw data'!M3,IF(CO2_Standards="BS 5306 - 4",'raw data'!P3))</f>
        <v>Acetone</v>
      </c>
      <c r="K3" s="192">
        <f>IF(CO2_Standards="NFPA 12",'raw data'!N3,IF(CO2_Standards="BS 5306 - 4",'raw data'!Q3))</f>
        <v>34</v>
      </c>
      <c r="L3" s="192">
        <f>IF(CO2_Standards="NFPA 12",'raw data'!O3,IF(CO2_Standards="BS 5306 - 4",'raw data'!R3))</f>
        <v>0</v>
      </c>
      <c r="M3" s="191" t="s">
        <v>7</v>
      </c>
      <c r="N3" s="193">
        <v>34</v>
      </c>
      <c r="O3" s="158">
        <f>IF(S.F._Fule_Type=M3,'raw data'!N3,0)</f>
        <v>0</v>
      </c>
      <c r="P3" s="80" t="s">
        <v>7</v>
      </c>
      <c r="Q3" s="81">
        <v>31</v>
      </c>
      <c r="R3" s="158">
        <f>IF(S.F._Fule_Type=P3,'raw data'!Q3,0)</f>
        <v>0</v>
      </c>
      <c r="S3" s="81">
        <v>1</v>
      </c>
      <c r="T3" s="158">
        <f>IF(S.F._Fule_Type=P3,'raw data'!S3,0)</f>
        <v>0</v>
      </c>
      <c r="U3" s="1" t="str">
        <f>S.F._Fule_Type</f>
        <v>Methane</v>
      </c>
    </row>
    <row r="4" spans="1:21" ht="15.75" x14ac:dyDescent="0.25">
      <c r="B4" s="187" t="s">
        <v>116</v>
      </c>
      <c r="C4" s="187" t="s">
        <v>119</v>
      </c>
      <c r="D4" s="187"/>
      <c r="E4" s="190" t="str">
        <f t="shared" si="0"/>
        <v>4 min.</v>
      </c>
      <c r="F4" s="190">
        <v>4</v>
      </c>
      <c r="G4" s="1">
        <v>3</v>
      </c>
      <c r="J4" s="191" t="str">
        <f>IF(CO2_Standards="NFPA 12",'raw data'!M4,IF(CO2_Standards="BS 5306 - 4",'raw data'!P4))</f>
        <v>Aviation Gas Grades 115/145</v>
      </c>
      <c r="K4" s="192">
        <f>IF(CO2_Standards="NFPA 12",'raw data'!N4,IF(CO2_Standards="BS 5306 - 4",'raw data'!Q4))</f>
        <v>36</v>
      </c>
      <c r="L4" s="192">
        <f>IF(CO2_Standards="NFPA 12",'raw data'!O4,IF(CO2_Standards="BS 5306 - 4",'raw data'!R4))</f>
        <v>0</v>
      </c>
      <c r="M4" s="191" t="s">
        <v>145</v>
      </c>
      <c r="N4" s="193">
        <v>36</v>
      </c>
      <c r="O4" s="158">
        <f>IF(S.F._Fule_Type=M4,'raw data'!N4,0)</f>
        <v>0</v>
      </c>
      <c r="P4" s="80" t="s">
        <v>8</v>
      </c>
      <c r="Q4" s="81">
        <v>37</v>
      </c>
      <c r="R4" s="158">
        <f>IF(S.F._Fule_Type=P4,'raw data'!Q4,0)</f>
        <v>0</v>
      </c>
      <c r="S4" s="81">
        <v>1.1000000000000001</v>
      </c>
      <c r="T4" s="158">
        <f>IF(S.F._Fule_Type=P4,'raw data'!S4,0)</f>
        <v>0</v>
      </c>
    </row>
    <row r="5" spans="1:21" ht="15.75" x14ac:dyDescent="0.25">
      <c r="B5" s="187" t="s">
        <v>232</v>
      </c>
      <c r="C5" s="187" t="s">
        <v>166</v>
      </c>
      <c r="D5" s="187"/>
      <c r="E5" s="190" t="str">
        <f t="shared" si="0"/>
        <v>3 min.</v>
      </c>
      <c r="F5" s="190">
        <v>3</v>
      </c>
      <c r="G5" s="1">
        <v>4</v>
      </c>
      <c r="J5" s="191" t="str">
        <f>IF(CO2_Standards="NFPA 12",'raw data'!M5,IF(CO2_Standards="BS 5306 - 4",'raw data'!P5))</f>
        <v>Benzol, benzene</v>
      </c>
      <c r="K5" s="192">
        <f>IF(CO2_Standards="NFPA 12",'raw data'!N5,IF(CO2_Standards="BS 5306 - 4",'raw data'!Q5))</f>
        <v>37</v>
      </c>
      <c r="L5" s="192">
        <f>IF(CO2_Standards="NFPA 12",'raw data'!O5,IF(CO2_Standards="BS 5306 - 4",'raw data'!R5))</f>
        <v>0</v>
      </c>
      <c r="M5" s="191" t="s">
        <v>8</v>
      </c>
      <c r="N5" s="193">
        <v>37</v>
      </c>
      <c r="O5" s="158">
        <f>IF(S.F._Fule_Type=M5,'raw data'!N5,0)</f>
        <v>0</v>
      </c>
      <c r="P5" s="80" t="s">
        <v>9</v>
      </c>
      <c r="Q5" s="81">
        <v>34</v>
      </c>
      <c r="R5" s="158">
        <f>IF(S.F._Fule_Type=P5,'raw data'!Q5,0)</f>
        <v>0</v>
      </c>
      <c r="S5" s="81">
        <v>1</v>
      </c>
      <c r="T5" s="158">
        <f>IF(S.F._Fule_Type=P5,'raw data'!S5,0)</f>
        <v>0</v>
      </c>
    </row>
    <row r="6" spans="1:21" ht="15.75" x14ac:dyDescent="0.25">
      <c r="C6" s="187" t="s">
        <v>118</v>
      </c>
      <c r="E6" s="190" t="str">
        <f t="shared" si="0"/>
        <v>2 min.</v>
      </c>
      <c r="F6" s="190">
        <v>2</v>
      </c>
      <c r="G6" s="1">
        <v>5</v>
      </c>
      <c r="J6" s="191" t="str">
        <f>IF(CO2_Standards="NFPA 12",'raw data'!M6,IF(CO2_Standards="BS 5306 - 4",'raw data'!P6))</f>
        <v>Buta diene</v>
      </c>
      <c r="K6" s="192">
        <f>IF(CO2_Standards="NFPA 12",'raw data'!N6,IF(CO2_Standards="BS 5306 - 4",'raw data'!Q6))</f>
        <v>41</v>
      </c>
      <c r="L6" s="192">
        <f>IF(CO2_Standards="NFPA 12",'raw data'!O6,IF(CO2_Standards="BS 5306 - 4",'raw data'!R6))</f>
        <v>0</v>
      </c>
      <c r="M6" s="191" t="s">
        <v>50</v>
      </c>
      <c r="N6" s="193">
        <v>41</v>
      </c>
      <c r="O6" s="158">
        <f>IF(S.F._Fule_Type=M6,'raw data'!N6,0)</f>
        <v>0</v>
      </c>
      <c r="P6" s="80" t="s">
        <v>229</v>
      </c>
      <c r="Q6" s="81">
        <v>41</v>
      </c>
      <c r="R6" s="158">
        <f>IF(S.F._Fule_Type=P6,'raw data'!Q6,0)</f>
        <v>0</v>
      </c>
      <c r="S6" s="81">
        <v>1.3</v>
      </c>
      <c r="T6" s="158">
        <f>IF(S.F._Fule_Type=P6,'raw data'!S6,0)</f>
        <v>0</v>
      </c>
    </row>
    <row r="7" spans="1:21" ht="15.75" x14ac:dyDescent="0.25">
      <c r="C7" s="187" t="s">
        <v>206</v>
      </c>
      <c r="E7" s="190" t="str">
        <f t="shared" si="0"/>
        <v>1 min.</v>
      </c>
      <c r="F7" s="190">
        <v>1</v>
      </c>
      <c r="J7" s="191" t="str">
        <f>IF(CO2_Standards="NFPA 12",'raw data'!M7,IF(CO2_Standards="BS 5306 - 4",'raw data'!P7))</f>
        <v>Butane</v>
      </c>
      <c r="K7" s="192">
        <f>IF(CO2_Standards="NFPA 12",'raw data'!N7,IF(CO2_Standards="BS 5306 - 4",'raw data'!Q7))</f>
        <v>34</v>
      </c>
      <c r="L7" s="192">
        <f>IF(CO2_Standards="NFPA 12",'raw data'!O7,IF(CO2_Standards="BS 5306 - 4",'raw data'!R7))</f>
        <v>0</v>
      </c>
      <c r="M7" s="191" t="s">
        <v>9</v>
      </c>
      <c r="N7" s="193">
        <v>34</v>
      </c>
      <c r="O7" s="158">
        <f>IF(S.F._Fule_Type=M7,'raw data'!N7,0)</f>
        <v>0</v>
      </c>
      <c r="P7" s="80" t="s">
        <v>33</v>
      </c>
      <c r="Q7" s="81">
        <v>72</v>
      </c>
      <c r="R7" s="158">
        <f>IF(S.F._Fule_Type=P7,'raw data'!Q7,0)</f>
        <v>0</v>
      </c>
      <c r="S7" s="81">
        <v>3</v>
      </c>
      <c r="T7" s="158">
        <f>IF(S.F._Fule_Type=P7,'raw data'!S7,0)</f>
        <v>0</v>
      </c>
    </row>
    <row r="8" spans="1:21" ht="15.75" x14ac:dyDescent="0.25">
      <c r="J8" s="191" t="str">
        <f>IF(CO2_Standards="NFPA 12",'raw data'!M8,IF(CO2_Standards="BS 5306 - 4",'raw data'!P8))</f>
        <v>Butane-I</v>
      </c>
      <c r="K8" s="192">
        <f>IF(CO2_Standards="NFPA 12",'raw data'!N8,IF(CO2_Standards="BS 5306 - 4",'raw data'!Q8))</f>
        <v>37</v>
      </c>
      <c r="L8" s="192">
        <f>IF(CO2_Standards="NFPA 12",'raw data'!O8,IF(CO2_Standards="BS 5306 - 4",'raw data'!R8))</f>
        <v>0</v>
      </c>
      <c r="M8" s="191" t="s">
        <v>32</v>
      </c>
      <c r="N8" s="193">
        <v>37</v>
      </c>
      <c r="O8" s="158">
        <f>IF(S.F._Fule_Type=M8,'raw data'!N8,0)</f>
        <v>0</v>
      </c>
      <c r="P8" s="80" t="s">
        <v>10</v>
      </c>
      <c r="Q8" s="81">
        <v>64</v>
      </c>
      <c r="R8" s="158">
        <f>IF(S.F._Fule_Type=P8,'raw data'!Q8,0)</f>
        <v>0</v>
      </c>
      <c r="S8" s="81">
        <v>2.4</v>
      </c>
      <c r="T8" s="158">
        <f>IF(S.F._Fule_Type=P8,'raw data'!S8,0)</f>
        <v>0</v>
      </c>
    </row>
    <row r="9" spans="1:21" ht="15.75" x14ac:dyDescent="0.25">
      <c r="J9" s="191" t="str">
        <f>IF(CO2_Standards="NFPA 12",'raw data'!M9,IF(CO2_Standards="BS 5306 - 4",'raw data'!P9))</f>
        <v>Carbon Disulphide</v>
      </c>
      <c r="K9" s="192">
        <f>IF(CO2_Standards="NFPA 12",'raw data'!N9,IF(CO2_Standards="BS 5306 - 4",'raw data'!Q9))</f>
        <v>72</v>
      </c>
      <c r="L9" s="192">
        <f>IF(CO2_Standards="NFPA 12",'raw data'!O9,IF(CO2_Standards="BS 5306 - 4",'raw data'!R9))</f>
        <v>0</v>
      </c>
      <c r="M9" s="191" t="s">
        <v>33</v>
      </c>
      <c r="N9" s="193">
        <v>72</v>
      </c>
      <c r="O9" s="158">
        <f>IF(S.F._Fule_Type=M9,'raw data'!N9,0)</f>
        <v>0</v>
      </c>
      <c r="P9" s="80" t="s">
        <v>11</v>
      </c>
      <c r="Q9" s="81">
        <v>37</v>
      </c>
      <c r="R9" s="158">
        <f>IF(S.F._Fule_Type=P9,'raw data'!Q9,0)</f>
        <v>0</v>
      </c>
      <c r="S9" s="81">
        <v>1.1000000000000001</v>
      </c>
      <c r="T9" s="158">
        <f>IF(S.F._Fule_Type=P9,'raw data'!S9,0)</f>
        <v>0</v>
      </c>
    </row>
    <row r="10" spans="1:21" ht="15.75" x14ac:dyDescent="0.25">
      <c r="J10" s="191" t="str">
        <f>IF(CO2_Standards="NFPA 12",'raw data'!M10,IF(CO2_Standards="BS 5306 - 4",'raw data'!P10))</f>
        <v>Carbon monoxide</v>
      </c>
      <c r="K10" s="192">
        <f>IF(CO2_Standards="NFPA 12",'raw data'!N10,IF(CO2_Standards="BS 5306 - 4",'raw data'!Q10))</f>
        <v>64</v>
      </c>
      <c r="L10" s="192">
        <f>IF(CO2_Standards="NFPA 12",'raw data'!O10,IF(CO2_Standards="BS 5306 - 4",'raw data'!R10))</f>
        <v>0</v>
      </c>
      <c r="M10" s="191" t="s">
        <v>10</v>
      </c>
      <c r="N10" s="193">
        <v>64</v>
      </c>
      <c r="O10" s="158">
        <f>IF(S.F._Fule_Type=M10,'raw data'!N10,0)</f>
        <v>0</v>
      </c>
      <c r="P10" s="80" t="s">
        <v>12</v>
      </c>
      <c r="Q10" s="81">
        <v>37</v>
      </c>
      <c r="R10" s="158">
        <f>IF(S.F._Fule_Type=P10,'raw data'!Q10,0)</f>
        <v>0</v>
      </c>
      <c r="S10" s="81">
        <v>1.1000000000000001</v>
      </c>
      <c r="T10" s="158">
        <f>IF(S.F._Fule_Type=P10,'raw data'!S10,0)</f>
        <v>0</v>
      </c>
    </row>
    <row r="11" spans="1:21" ht="15.75" x14ac:dyDescent="0.25">
      <c r="J11" s="191" t="str">
        <f>IF(CO2_Standards="NFPA 12",'raw data'!M11,IF(CO2_Standards="BS 5306 - 4",'raw data'!P11))</f>
        <v>Coal gas or natural gas</v>
      </c>
      <c r="K11" s="192">
        <f>IF(CO2_Standards="NFPA 12",'raw data'!N11,IF(CO2_Standards="BS 5306 - 4",'raw data'!Q11))</f>
        <v>37</v>
      </c>
      <c r="L11" s="192">
        <f>IF(CO2_Standards="NFPA 12",'raw data'!O11,IF(CO2_Standards="BS 5306 - 4",'raw data'!R11))</f>
        <v>0</v>
      </c>
      <c r="M11" s="191" t="s">
        <v>11</v>
      </c>
      <c r="N11" s="193">
        <v>37</v>
      </c>
      <c r="O11" s="158">
        <f>IF(S.F._Fule_Type=M11,'raw data'!N11,0)</f>
        <v>0</v>
      </c>
      <c r="P11" s="80" t="s">
        <v>36</v>
      </c>
      <c r="Q11" s="81">
        <v>46</v>
      </c>
      <c r="R11" s="158">
        <f>IF(S.F._Fule_Type=P11,'raw data'!Q11,0)</f>
        <v>0</v>
      </c>
      <c r="S11" s="81">
        <v>1.5</v>
      </c>
      <c r="T11" s="158">
        <f>IF(S.F._Fule_Type=P11,'raw data'!S11,0)</f>
        <v>0</v>
      </c>
    </row>
    <row r="12" spans="1:21" ht="15.75" x14ac:dyDescent="0.25">
      <c r="J12" s="191" t="str">
        <f>IF(CO2_Standards="NFPA 12",'raw data'!M12,IF(CO2_Standards="BS 5306 - 4",'raw data'!P12))</f>
        <v>Cyclopropane</v>
      </c>
      <c r="K12" s="192">
        <f>IF(CO2_Standards="NFPA 12",'raw data'!N12,IF(CO2_Standards="BS 5306 - 4",'raw data'!Q12))</f>
        <v>37</v>
      </c>
      <c r="L12" s="192">
        <f>IF(CO2_Standards="NFPA 12",'raw data'!O12,IF(CO2_Standards="BS 5306 - 4",'raw data'!R12))</f>
        <v>0</v>
      </c>
      <c r="M12" s="191" t="s">
        <v>12</v>
      </c>
      <c r="N12" s="193">
        <v>37</v>
      </c>
      <c r="O12" s="158">
        <f>IF(S.F._Fule_Type=M12,'raw data'!N12,0)</f>
        <v>0</v>
      </c>
      <c r="P12" s="80" t="s">
        <v>13</v>
      </c>
      <c r="Q12" s="81">
        <v>46</v>
      </c>
      <c r="R12" s="158">
        <f>IF(S.F._Fule_Type=P12,'raw data'!Q12,0)</f>
        <v>0</v>
      </c>
      <c r="S12" s="81">
        <v>1.5</v>
      </c>
      <c r="T12" s="158">
        <f>IF(S.F._Fule_Type=P12,'raw data'!S12,0)</f>
        <v>0</v>
      </c>
    </row>
    <row r="13" spans="1:21" ht="15.75" x14ac:dyDescent="0.25">
      <c r="J13" s="191" t="str">
        <f>IF(CO2_Standards="NFPA 12",'raw data'!M13,IF(CO2_Standards="BS 5306 - 4",'raw data'!P13))</f>
        <v>Diethyl Ether</v>
      </c>
      <c r="K13" s="192">
        <f>IF(CO2_Standards="NFPA 12",'raw data'!N13,IF(CO2_Standards="BS 5306 - 4",'raw data'!Q13))</f>
        <v>40</v>
      </c>
      <c r="L13" s="192">
        <f>IF(CO2_Standards="NFPA 12",'raw data'!O13,IF(CO2_Standards="BS 5306 - 4",'raw data'!R13))</f>
        <v>0</v>
      </c>
      <c r="M13" s="191" t="s">
        <v>36</v>
      </c>
      <c r="N13" s="193">
        <v>40</v>
      </c>
      <c r="O13" s="158">
        <f>IF(S.F._Fule_Type=M13,'raw data'!N13,0)</f>
        <v>0</v>
      </c>
      <c r="P13" s="80" t="s">
        <v>14</v>
      </c>
      <c r="Q13" s="81">
        <v>40</v>
      </c>
      <c r="R13" s="158">
        <f>IF(S.F._Fule_Type=P13,'raw data'!Q13,0)</f>
        <v>0</v>
      </c>
      <c r="S13" s="81">
        <v>1.2</v>
      </c>
      <c r="T13" s="158">
        <f>IF(S.F._Fule_Type=P13,'raw data'!S13,0)</f>
        <v>0</v>
      </c>
    </row>
    <row r="14" spans="1:21" ht="15.75" x14ac:dyDescent="0.25">
      <c r="J14" s="191" t="str">
        <f>IF(CO2_Standards="NFPA 12",'raw data'!M14,IF(CO2_Standards="BS 5306 - 4",'raw data'!P14))</f>
        <v>Dimethyl Ether</v>
      </c>
      <c r="K14" s="192">
        <f>IF(CO2_Standards="NFPA 12",'raw data'!N14,IF(CO2_Standards="BS 5306 - 4",'raw data'!Q14))</f>
        <v>40</v>
      </c>
      <c r="L14" s="192">
        <f>IF(CO2_Standards="NFPA 12",'raw data'!O14,IF(CO2_Standards="BS 5306 - 4",'raw data'!R14))</f>
        <v>0</v>
      </c>
      <c r="M14" s="191" t="s">
        <v>37</v>
      </c>
      <c r="N14" s="193">
        <v>40</v>
      </c>
      <c r="O14" s="158">
        <f>IF(S.F._Fule_Type=M14,'raw data'!N14,0)</f>
        <v>0</v>
      </c>
      <c r="P14" s="80" t="s">
        <v>234</v>
      </c>
      <c r="Q14" s="81">
        <v>43</v>
      </c>
      <c r="R14" s="158">
        <f>IF(S.F._Fule_Type=P14,'raw data'!Q14,0)</f>
        <v>0</v>
      </c>
      <c r="S14" s="81">
        <v>1.3</v>
      </c>
      <c r="T14" s="158">
        <f>IF(S.F._Fule_Type=P14,'raw data'!S14,0)</f>
        <v>0</v>
      </c>
    </row>
    <row r="15" spans="1:21" ht="15.75" x14ac:dyDescent="0.25">
      <c r="J15" s="191" t="str">
        <f>IF(CO2_Standards="NFPA 12",'raw data'!M15,IF(CO2_Standards="BS 5306 - 4",'raw data'!P15))</f>
        <v>Dowtherm</v>
      </c>
      <c r="K15" s="192">
        <f>IF(CO2_Standards="NFPA 12",'raw data'!N15,IF(CO2_Standards="BS 5306 - 4",'raw data'!Q15))</f>
        <v>46</v>
      </c>
      <c r="L15" s="192">
        <f>IF(CO2_Standards="NFPA 12",'raw data'!O15,IF(CO2_Standards="BS 5306 - 4",'raw data'!R15))</f>
        <v>0</v>
      </c>
      <c r="M15" s="191" t="s">
        <v>13</v>
      </c>
      <c r="N15" s="193">
        <v>46</v>
      </c>
      <c r="O15" s="158">
        <f>IF(S.F._Fule_Type=M15,'raw data'!N15,0)</f>
        <v>0</v>
      </c>
      <c r="P15" s="80" t="s">
        <v>15</v>
      </c>
      <c r="Q15" s="81">
        <v>49</v>
      </c>
      <c r="R15" s="158">
        <f>IF(S.F._Fule_Type=P15,'raw data'!Q15,0)</f>
        <v>0</v>
      </c>
      <c r="S15" s="81">
        <v>1.6</v>
      </c>
      <c r="T15" s="158">
        <f>IF(S.F._Fule_Type=P15,'raw data'!S15,0)</f>
        <v>0</v>
      </c>
    </row>
    <row r="16" spans="1:21" ht="15.75" x14ac:dyDescent="0.25">
      <c r="J16" s="191" t="str">
        <f>IF(CO2_Standards="NFPA 12",'raw data'!M16,IF(CO2_Standards="BS 5306 - 4",'raw data'!P16))</f>
        <v>Ethane</v>
      </c>
      <c r="K16" s="192">
        <f>IF(CO2_Standards="NFPA 12",'raw data'!N16,IF(CO2_Standards="BS 5306 - 4",'raw data'!Q16))</f>
        <v>40</v>
      </c>
      <c r="L16" s="192">
        <f>IF(CO2_Standards="NFPA 12",'raw data'!O16,IF(CO2_Standards="BS 5306 - 4",'raw data'!R16))</f>
        <v>0</v>
      </c>
      <c r="M16" s="191" t="s">
        <v>14</v>
      </c>
      <c r="N16" s="193">
        <v>40</v>
      </c>
      <c r="O16" s="158">
        <f>IF(S.F._Fule_Type=M16,'raw data'!N16,0)</f>
        <v>0</v>
      </c>
      <c r="P16" s="80" t="s">
        <v>16</v>
      </c>
      <c r="Q16" s="81">
        <v>25</v>
      </c>
      <c r="R16" s="158">
        <f>IF(S.F._Fule_Type=P16,'raw data'!Q16,0)</f>
        <v>0</v>
      </c>
      <c r="S16" s="81">
        <v>1</v>
      </c>
      <c r="T16" s="158">
        <f>IF(S.F._Fule_Type=P16,'raw data'!S16,0)</f>
        <v>0</v>
      </c>
    </row>
    <row r="17" spans="5:20" ht="15.75" x14ac:dyDescent="0.25">
      <c r="J17" s="191" t="str">
        <f>IF(CO2_Standards="NFPA 12",'raw data'!M17,IF(CO2_Standards="BS 5306 - 4",'raw data'!P17))</f>
        <v>Ethyle Alcohole (Ethanol)</v>
      </c>
      <c r="K17" s="192">
        <f>IF(CO2_Standards="NFPA 12",'raw data'!N17,IF(CO2_Standards="BS 5306 - 4",'raw data'!Q17))</f>
        <v>43</v>
      </c>
      <c r="L17" s="192">
        <f>IF(CO2_Standards="NFPA 12",'raw data'!O17,IF(CO2_Standards="BS 5306 - 4",'raw data'!R17))</f>
        <v>0</v>
      </c>
      <c r="M17" s="191" t="s">
        <v>143</v>
      </c>
      <c r="N17" s="193">
        <v>43</v>
      </c>
      <c r="O17" s="158">
        <f>IF(S.F._Fule_Type=M17,'raw data'!N17,0)</f>
        <v>0</v>
      </c>
      <c r="P17" s="80" t="s">
        <v>17</v>
      </c>
      <c r="Q17" s="81">
        <v>53</v>
      </c>
      <c r="R17" s="158">
        <f>IF(S.F._Fule_Type=P17,'raw data'!Q17,0)</f>
        <v>0</v>
      </c>
      <c r="S17" s="81">
        <v>1.75</v>
      </c>
      <c r="T17" s="158">
        <f>IF(S.F._Fule_Type=P17,'raw data'!S17,0)</f>
        <v>0</v>
      </c>
    </row>
    <row r="18" spans="5:20" ht="15.75" x14ac:dyDescent="0.25">
      <c r="E18" s="194"/>
      <c r="F18" s="194"/>
      <c r="J18" s="191" t="str">
        <f>IF(CO2_Standards="NFPA 12",'raw data'!M18,IF(CO2_Standards="BS 5306 - 4",'raw data'!P18))</f>
        <v>Ethyle Ether</v>
      </c>
      <c r="K18" s="192">
        <f>IF(CO2_Standards="NFPA 12",'raw data'!N18,IF(CO2_Standards="BS 5306 - 4",'raw data'!Q18))</f>
        <v>46</v>
      </c>
      <c r="L18" s="192">
        <f>IF(CO2_Standards="NFPA 12",'raw data'!O18,IF(CO2_Standards="BS 5306 - 4",'raw data'!R18))</f>
        <v>0</v>
      </c>
      <c r="M18" s="191" t="s">
        <v>35</v>
      </c>
      <c r="N18" s="193">
        <v>46</v>
      </c>
      <c r="O18" s="158">
        <f>IF(S.F._Fule_Type=M18,'raw data'!N18,0)</f>
        <v>0</v>
      </c>
      <c r="P18" s="80" t="s">
        <v>18</v>
      </c>
      <c r="Q18" s="81">
        <v>35</v>
      </c>
      <c r="R18" s="158">
        <f>IF(S.F._Fule_Type=P18,'raw data'!Q18,0)</f>
        <v>0</v>
      </c>
      <c r="S18" s="81">
        <v>1.1000000000000001</v>
      </c>
      <c r="T18" s="158">
        <f>IF(S.F._Fule_Type=P18,'raw data'!S18,0)</f>
        <v>0</v>
      </c>
    </row>
    <row r="19" spans="5:20" ht="15.75" x14ac:dyDescent="0.25">
      <c r="J19" s="191" t="str">
        <f>IF(CO2_Standards="NFPA 12",'raw data'!M19,IF(CO2_Standards="BS 5306 - 4",'raw data'!P19))</f>
        <v>Ethylene</v>
      </c>
      <c r="K19" s="192">
        <f>IF(CO2_Standards="NFPA 12",'raw data'!N19,IF(CO2_Standards="BS 5306 - 4",'raw data'!Q19))</f>
        <v>49</v>
      </c>
      <c r="L19" s="192">
        <f>IF(CO2_Standards="NFPA 12",'raw data'!O19,IF(CO2_Standards="BS 5306 - 4",'raw data'!R19))</f>
        <v>0</v>
      </c>
      <c r="M19" s="191" t="s">
        <v>15</v>
      </c>
      <c r="N19" s="193">
        <v>49</v>
      </c>
      <c r="O19" s="158">
        <f>IF(S.F._Fule_Type=M19,'raw data'!N19,0)</f>
        <v>0</v>
      </c>
      <c r="P19" s="80" t="s">
        <v>19</v>
      </c>
      <c r="Q19" s="81">
        <v>75</v>
      </c>
      <c r="R19" s="158">
        <f>IF(S.F._Fule_Type=P19,'raw data'!Q19,0)</f>
        <v>0</v>
      </c>
      <c r="S19" s="81">
        <v>3.3</v>
      </c>
      <c r="T19" s="158">
        <f>IF(S.F._Fule_Type=P19,'raw data'!S19,0)</f>
        <v>0</v>
      </c>
    </row>
    <row r="20" spans="5:20" ht="15.75" x14ac:dyDescent="0.25">
      <c r="J20" s="191" t="str">
        <f>IF(CO2_Standards="NFPA 12",'raw data'!M20,IF(CO2_Standards="BS 5306 - 4",'raw data'!P20))</f>
        <v>Ethylene dichloride</v>
      </c>
      <c r="K20" s="192">
        <f>IF(CO2_Standards="NFPA 12",'raw data'!N20,IF(CO2_Standards="BS 5306 - 4",'raw data'!Q20))</f>
        <v>25</v>
      </c>
      <c r="L20" s="192">
        <f>IF(CO2_Standards="NFPA 12",'raw data'!O20,IF(CO2_Standards="BS 5306 - 4",'raw data'!R20))</f>
        <v>0</v>
      </c>
      <c r="M20" s="191" t="s">
        <v>16</v>
      </c>
      <c r="N20" s="193">
        <v>25</v>
      </c>
      <c r="O20" s="158">
        <f>IF(S.F._Fule_Type=M20,'raw data'!N20,0)</f>
        <v>0</v>
      </c>
      <c r="P20" s="80" t="s">
        <v>20</v>
      </c>
      <c r="Q20" s="81">
        <v>36</v>
      </c>
      <c r="R20" s="158">
        <f>IF(S.F._Fule_Type=P20,'raw data'!Q20,0)</f>
        <v>0</v>
      </c>
      <c r="S20" s="81">
        <v>1.1000000000000001</v>
      </c>
      <c r="T20" s="158">
        <f>IF(S.F._Fule_Type=P20,'raw data'!S20,0)</f>
        <v>0</v>
      </c>
    </row>
    <row r="21" spans="5:20" ht="15.75" x14ac:dyDescent="0.25">
      <c r="J21" s="191" t="str">
        <f>IF(CO2_Standards="NFPA 12",'raw data'!M21,IF(CO2_Standards="BS 5306 - 4",'raw data'!P21))</f>
        <v>Ethylene oxide</v>
      </c>
      <c r="K21" s="192">
        <f>IF(CO2_Standards="NFPA 12",'raw data'!N21,IF(CO2_Standards="BS 5306 - 4",'raw data'!Q21))</f>
        <v>53</v>
      </c>
      <c r="L21" s="192">
        <f>IF(CO2_Standards="NFPA 12",'raw data'!O21,IF(CO2_Standards="BS 5306 - 4",'raw data'!R21))</f>
        <v>0</v>
      </c>
      <c r="M21" s="191" t="s">
        <v>17</v>
      </c>
      <c r="N21" s="193">
        <v>53</v>
      </c>
      <c r="O21" s="158">
        <f>IF(S.F._Fule_Type=M21,'raw data'!N21,0)</f>
        <v>0</v>
      </c>
      <c r="P21" s="80" t="s">
        <v>21</v>
      </c>
      <c r="Q21" s="81">
        <v>34</v>
      </c>
      <c r="R21" s="158">
        <f>IF(S.F._Fule_Type=P21,'raw data'!Q21,0)</f>
        <v>0</v>
      </c>
      <c r="S21" s="81">
        <v>1</v>
      </c>
      <c r="T21" s="158">
        <f>IF(S.F._Fule_Type=P21,'raw data'!S21,0)</f>
        <v>0</v>
      </c>
    </row>
    <row r="22" spans="5:20" ht="15.75" x14ac:dyDescent="0.25">
      <c r="J22" s="191" t="str">
        <f>IF(CO2_Standards="NFPA 12",'raw data'!M22,IF(CO2_Standards="BS 5306 - 4",'raw data'!P22))</f>
        <v>Gasoline</v>
      </c>
      <c r="K22" s="192">
        <f>IF(CO2_Standards="NFPA 12",'raw data'!N22,IF(CO2_Standards="BS 5306 - 4",'raw data'!Q22))</f>
        <v>34</v>
      </c>
      <c r="L22" s="192">
        <f>IF(CO2_Standards="NFPA 12",'raw data'!O22,IF(CO2_Standards="BS 5306 - 4",'raw data'!R22))</f>
        <v>0</v>
      </c>
      <c r="M22" s="191" t="s">
        <v>38</v>
      </c>
      <c r="N22" s="193">
        <v>34</v>
      </c>
      <c r="O22" s="158">
        <f>IF(S.F._Fule_Type=M22,'raw data'!N22,0)</f>
        <v>0</v>
      </c>
      <c r="P22" s="80" t="s">
        <v>22</v>
      </c>
      <c r="Q22" s="81">
        <v>34</v>
      </c>
      <c r="R22" s="158">
        <f>IF(S.F._Fule_Type=P22,'raw data'!Q22,0)</f>
        <v>34</v>
      </c>
      <c r="S22" s="81">
        <v>1</v>
      </c>
      <c r="T22" s="158">
        <f>IF(S.F._Fule_Type=P22,'raw data'!S22,0)</f>
        <v>1</v>
      </c>
    </row>
    <row r="23" spans="5:20" ht="15.75" x14ac:dyDescent="0.25">
      <c r="J23" s="191" t="str">
        <f>IF(CO2_Standards="NFPA 12",'raw data'!M23,IF(CO2_Standards="BS 5306 - 4",'raw data'!P23))</f>
        <v>Hexane</v>
      </c>
      <c r="K23" s="192">
        <f>IF(CO2_Standards="NFPA 12",'raw data'!N23,IF(CO2_Standards="BS 5306 - 4",'raw data'!Q23))</f>
        <v>35</v>
      </c>
      <c r="L23" s="192">
        <f>IF(CO2_Standards="NFPA 12",'raw data'!O23,IF(CO2_Standards="BS 5306 - 4",'raw data'!R23))</f>
        <v>0</v>
      </c>
      <c r="M23" s="191" t="s">
        <v>18</v>
      </c>
      <c r="N23" s="193">
        <v>35</v>
      </c>
      <c r="O23" s="158">
        <f>IF(S.F._Fule_Type=M23,'raw data'!N23,0)</f>
        <v>0</v>
      </c>
      <c r="P23" s="80" t="s">
        <v>235</v>
      </c>
      <c r="Q23" s="81">
        <v>40</v>
      </c>
      <c r="R23" s="158">
        <f>IF(S.F._Fule_Type=P23,'raw data'!Q23,0)</f>
        <v>0</v>
      </c>
      <c r="S23" s="81">
        <v>1.2</v>
      </c>
      <c r="T23" s="158">
        <f>IF(S.F._Fule_Type=P23,'raw data'!S23,0)</f>
        <v>0</v>
      </c>
    </row>
    <row r="24" spans="5:20" ht="15.75" x14ac:dyDescent="0.25">
      <c r="J24" s="191" t="str">
        <f>IF(CO2_Standards="NFPA 12",'raw data'!M24,IF(CO2_Standards="BS 5306 - 4",'raw data'!P24))</f>
        <v>Higher Paraffin Hydrocarbon</v>
      </c>
      <c r="K24" s="192">
        <f>IF(CO2_Standards="NFPA 12",'raw data'!N24,IF(CO2_Standards="BS 5306 - 4",'raw data'!Q24))</f>
        <v>34</v>
      </c>
      <c r="L24" s="192">
        <f>IF(CO2_Standards="NFPA 12",'raw data'!O24,IF(CO2_Standards="BS 5306 - 4",'raw data'!R24))</f>
        <v>0</v>
      </c>
      <c r="M24" s="191" t="s">
        <v>39</v>
      </c>
      <c r="N24" s="193">
        <v>34</v>
      </c>
      <c r="O24" s="158">
        <f>IF(S.F._Fule_Type=M24,'raw data'!N24,0)</f>
        <v>0</v>
      </c>
      <c r="P24" s="80" t="s">
        <v>23</v>
      </c>
      <c r="Q24" s="81">
        <v>35</v>
      </c>
      <c r="R24" s="158">
        <f>IF(S.F._Fule_Type=P24,'raw data'!Q24,0)</f>
        <v>0</v>
      </c>
      <c r="S24" s="81">
        <v>1.1000000000000001</v>
      </c>
      <c r="T24" s="158">
        <f>IF(S.F._Fule_Type=P24,'raw data'!S24,0)</f>
        <v>0</v>
      </c>
    </row>
    <row r="25" spans="5:20" ht="15.75" x14ac:dyDescent="0.25">
      <c r="J25" s="191" t="str">
        <f>IF(CO2_Standards="NFPA 12",'raw data'!M25,IF(CO2_Standards="BS 5306 - 4",'raw data'!P25))</f>
        <v>Hydrogen</v>
      </c>
      <c r="K25" s="192">
        <f>IF(CO2_Standards="NFPA 12",'raw data'!N25,IF(CO2_Standards="BS 5306 - 4",'raw data'!Q25))</f>
        <v>75</v>
      </c>
      <c r="L25" s="192">
        <f>IF(CO2_Standards="NFPA 12",'raw data'!O25,IF(CO2_Standards="BS 5306 - 4",'raw data'!R25))</f>
        <v>0</v>
      </c>
      <c r="M25" s="191" t="s">
        <v>19</v>
      </c>
      <c r="N25" s="193">
        <v>75</v>
      </c>
      <c r="O25" s="158">
        <f>IF(S.F._Fule_Type=M25,'raw data'!N25,0)</f>
        <v>0</v>
      </c>
      <c r="P25" s="80" t="s">
        <v>230</v>
      </c>
      <c r="Q25" s="81">
        <v>34</v>
      </c>
      <c r="R25" s="158">
        <f>IF(S.F._Fule_Type=P25,'raw data'!Q25,0)</f>
        <v>0</v>
      </c>
      <c r="S25" s="81">
        <v>1</v>
      </c>
      <c r="T25" s="158">
        <f>IF(S.F._Fule_Type=P25,'raw data'!S25,0)</f>
        <v>0</v>
      </c>
    </row>
    <row r="26" spans="5:20" ht="15.75" x14ac:dyDescent="0.25">
      <c r="J26" s="191" t="str">
        <f>IF(CO2_Standards="NFPA 12",'raw data'!M26,IF(CO2_Standards="BS 5306 - 4",'raw data'!P26))</f>
        <v>Hydrogen Sulfide</v>
      </c>
      <c r="K26" s="192">
        <f>IF(CO2_Standards="NFPA 12",'raw data'!N26,IF(CO2_Standards="BS 5306 - 4",'raw data'!Q26))</f>
        <v>36</v>
      </c>
      <c r="L26" s="192">
        <f>IF(CO2_Standards="NFPA 12",'raw data'!O26,IF(CO2_Standards="BS 5306 - 4",'raw data'!R26))</f>
        <v>0</v>
      </c>
      <c r="M26" s="191" t="s">
        <v>40</v>
      </c>
      <c r="N26" s="193">
        <v>36</v>
      </c>
      <c r="O26" s="158">
        <f>IF(S.F._Fule_Type=M26,'raw data'!N26,0)</f>
        <v>0</v>
      </c>
      <c r="P26" s="80" t="s">
        <v>24</v>
      </c>
      <c r="Q26" s="81">
        <v>36</v>
      </c>
      <c r="R26" s="158">
        <f>IF(S.F._Fule_Type=P26,'raw data'!Q26,0)</f>
        <v>0</v>
      </c>
      <c r="S26" s="81">
        <v>1.1000000000000001</v>
      </c>
      <c r="T26" s="158">
        <f>IF(S.F._Fule_Type=P26,'raw data'!S26,0)</f>
        <v>0</v>
      </c>
    </row>
    <row r="27" spans="5:20" ht="15.75" x14ac:dyDescent="0.25">
      <c r="J27" s="191" t="str">
        <f>IF(CO2_Standards="NFPA 12",'raw data'!M27,IF(CO2_Standards="BS 5306 - 4",'raw data'!P27))</f>
        <v>Isobutane</v>
      </c>
      <c r="K27" s="192">
        <f>IF(CO2_Standards="NFPA 12",'raw data'!N27,IF(CO2_Standards="BS 5306 - 4",'raw data'!Q27))</f>
        <v>36</v>
      </c>
      <c r="L27" s="192">
        <f>IF(CO2_Standards="NFPA 12",'raw data'!O27,IF(CO2_Standards="BS 5306 - 4",'raw data'!R27))</f>
        <v>0</v>
      </c>
      <c r="M27" s="191" t="s">
        <v>20</v>
      </c>
      <c r="N27" s="193">
        <v>36</v>
      </c>
      <c r="O27" s="158">
        <f>IF(S.F._Fule_Type=M27,'raw data'!N27,0)</f>
        <v>0</v>
      </c>
      <c r="P27" s="80" t="s">
        <v>231</v>
      </c>
      <c r="Q27" s="86">
        <v>36</v>
      </c>
      <c r="R27" s="158">
        <f>IF(S.F._Fule_Type=P27,'raw data'!Q27,0)</f>
        <v>0</v>
      </c>
      <c r="S27" s="81">
        <v>1.1000000000000001</v>
      </c>
      <c r="T27" s="158">
        <f>IF(S.F._Fule_Type=P27,'raw data'!S27,0)</f>
        <v>0</v>
      </c>
    </row>
    <row r="28" spans="5:20" ht="15.75" x14ac:dyDescent="0.25">
      <c r="J28" s="191" t="str">
        <f>IF(CO2_Standards="NFPA 12",'raw data'!M28,IF(CO2_Standards="BS 5306 - 4",'raw data'!P28))</f>
        <v>Isobutylene</v>
      </c>
      <c r="K28" s="192">
        <f>IF(CO2_Standards="NFPA 12",'raw data'!N28,IF(CO2_Standards="BS 5306 - 4",'raw data'!Q28))</f>
        <v>34</v>
      </c>
      <c r="L28" s="192">
        <f>IF(CO2_Standards="NFPA 12",'raw data'!O28,IF(CO2_Standards="BS 5306 - 4",'raw data'!R28))</f>
        <v>0</v>
      </c>
      <c r="M28" s="191" t="s">
        <v>41</v>
      </c>
      <c r="N28" s="193">
        <v>34</v>
      </c>
      <c r="O28" s="158">
        <f>IF(S.F._Fule_Type=M28,'raw data'!N28,0)</f>
        <v>0</v>
      </c>
      <c r="P28" s="80" t="s">
        <v>25</v>
      </c>
      <c r="Q28" s="81">
        <v>34</v>
      </c>
      <c r="R28" s="158">
        <f>IF(S.F._Fule_Type=P28,'raw data'!Q28,0)</f>
        <v>0</v>
      </c>
      <c r="S28" s="81">
        <v>1</v>
      </c>
      <c r="T28" s="158">
        <f>IF(S.F._Fule_Type=P28,'raw data'!S28,0)</f>
        <v>0</v>
      </c>
    </row>
    <row r="29" spans="5:20" ht="15.75" x14ac:dyDescent="0.2">
      <c r="J29" s="191" t="str">
        <f>IF(CO2_Standards="NFPA 12",'raw data'!M29,IF(CO2_Standards="BS 5306 - 4",'raw data'!P29))</f>
        <v>Isobutyl formate</v>
      </c>
      <c r="K29" s="192">
        <f>IF(CO2_Standards="NFPA 12",'raw data'!N29,IF(CO2_Standards="BS 5306 - 4",'raw data'!Q29))</f>
        <v>34</v>
      </c>
      <c r="L29" s="192">
        <f>IF(CO2_Standards="NFPA 12",'raw data'!O29,IF(CO2_Standards="BS 5306 - 4",'raw data'!R29))</f>
        <v>0</v>
      </c>
      <c r="M29" s="191" t="s">
        <v>42</v>
      </c>
      <c r="N29" s="193">
        <v>34</v>
      </c>
      <c r="O29" s="158">
        <f>IF(S.F._Fule_Type=M29,'raw data'!N29,0)</f>
        <v>0</v>
      </c>
      <c r="T29" s="195">
        <f>SUM(T2:T28)</f>
        <v>1</v>
      </c>
    </row>
    <row r="30" spans="5:20" ht="15.75" x14ac:dyDescent="0.2">
      <c r="J30" s="191" t="str">
        <f>IF(CO2_Standards="NFPA 12",'raw data'!M30,IF(CO2_Standards="BS 5306 - 4",'raw data'!P30))</f>
        <v>JP 4</v>
      </c>
      <c r="K30" s="192">
        <f>IF(CO2_Standards="NFPA 12",'raw data'!N30,IF(CO2_Standards="BS 5306 - 4",'raw data'!Q30))</f>
        <v>36</v>
      </c>
      <c r="L30" s="192">
        <f>IF(CO2_Standards="NFPA 12",'raw data'!O30,IF(CO2_Standards="BS 5306 - 4",'raw data'!R30))</f>
        <v>0</v>
      </c>
      <c r="M30" s="191" t="s">
        <v>43</v>
      </c>
      <c r="N30" s="193">
        <v>36</v>
      </c>
      <c r="O30" s="158">
        <f>IF(S.F._Fule_Type=M30,'raw data'!N30,0)</f>
        <v>0</v>
      </c>
    </row>
    <row r="31" spans="5:20" ht="15.75" x14ac:dyDescent="0.2">
      <c r="J31" s="191" t="str">
        <f>IF(CO2_Standards="NFPA 12",'raw data'!M31,IF(CO2_Standards="BS 5306 - 4",'raw data'!P31))</f>
        <v>Kerosene</v>
      </c>
      <c r="K31" s="192">
        <f>IF(CO2_Standards="NFPA 12",'raw data'!N31,IF(CO2_Standards="BS 5306 - 4",'raw data'!Q31))</f>
        <v>34</v>
      </c>
      <c r="L31" s="192">
        <f>IF(CO2_Standards="NFPA 12",'raw data'!O31,IF(CO2_Standards="BS 5306 - 4",'raw data'!R31))</f>
        <v>0</v>
      </c>
      <c r="M31" s="191" t="s">
        <v>21</v>
      </c>
      <c r="N31" s="193">
        <v>34</v>
      </c>
      <c r="O31" s="158">
        <f>IF(S.F._Fule_Type=M31,'raw data'!N31,0)</f>
        <v>0</v>
      </c>
    </row>
    <row r="32" spans="5:20" ht="15.75" x14ac:dyDescent="0.2">
      <c r="J32" s="191" t="str">
        <f>IF(CO2_Standards="NFPA 12",'raw data'!M32,IF(CO2_Standards="BS 5306 - 4",'raw data'!P32))</f>
        <v>Methane</v>
      </c>
      <c r="K32" s="192">
        <f>IF(CO2_Standards="NFPA 12",'raw data'!N32,IF(CO2_Standards="BS 5306 - 4",'raw data'!Q32))</f>
        <v>34</v>
      </c>
      <c r="L32" s="192">
        <f>IF(CO2_Standards="NFPA 12",'raw data'!O32,IF(CO2_Standards="BS 5306 - 4",'raw data'!R32))</f>
        <v>34</v>
      </c>
      <c r="M32" s="191" t="s">
        <v>22</v>
      </c>
      <c r="N32" s="193">
        <v>34</v>
      </c>
      <c r="O32" s="158">
        <f>IF(S.F._Fule_Type=M32,'raw data'!N32,0)</f>
        <v>34</v>
      </c>
    </row>
    <row r="33" spans="10:15" ht="15.75" x14ac:dyDescent="0.2">
      <c r="J33" s="191" t="str">
        <f>IF(CO2_Standards="NFPA 12",'raw data'!M33,IF(CO2_Standards="BS 5306 - 4",'raw data'!P33))</f>
        <v>Methyl Acetate</v>
      </c>
      <c r="K33" s="192">
        <f>IF(CO2_Standards="NFPA 12",'raw data'!N33,IF(CO2_Standards="BS 5306 - 4",'raw data'!Q33))</f>
        <v>35</v>
      </c>
      <c r="L33" s="192">
        <f>IF(CO2_Standards="NFPA 12",'raw data'!O33,IF(CO2_Standards="BS 5306 - 4",'raw data'!R33))</f>
        <v>0</v>
      </c>
      <c r="M33" s="191" t="s">
        <v>44</v>
      </c>
      <c r="N33" s="193">
        <v>35</v>
      </c>
      <c r="O33" s="158">
        <f>IF(S.F._Fule_Type=M33,'raw data'!N33,0)</f>
        <v>0</v>
      </c>
    </row>
    <row r="34" spans="10:15" ht="15.75" x14ac:dyDescent="0.2">
      <c r="J34" s="191" t="str">
        <f>IF(CO2_Standards="NFPA 12",'raw data'!M34,IF(CO2_Standards="BS 5306 - 4",'raw data'!P34))</f>
        <v>Methyl Alcohole (Methanol)</v>
      </c>
      <c r="K34" s="192">
        <f>IF(CO2_Standards="NFPA 12",'raw data'!N34,IF(CO2_Standards="BS 5306 - 4",'raw data'!Q34))</f>
        <v>40</v>
      </c>
      <c r="L34" s="192">
        <f>IF(CO2_Standards="NFPA 12",'raw data'!O34,IF(CO2_Standards="BS 5306 - 4",'raw data'!R34))</f>
        <v>0</v>
      </c>
      <c r="M34" s="191" t="s">
        <v>144</v>
      </c>
      <c r="N34" s="193">
        <v>40</v>
      </c>
      <c r="O34" s="158">
        <f>IF(S.F._Fule_Type=M34,'raw data'!N34,0)</f>
        <v>0</v>
      </c>
    </row>
    <row r="35" spans="10:15" ht="15.75" x14ac:dyDescent="0.2">
      <c r="J35" s="191" t="str">
        <f>IF(CO2_Standards="NFPA 12",'raw data'!M35,IF(CO2_Standards="BS 5306 - 4",'raw data'!P35))</f>
        <v>Methyl Butene - I</v>
      </c>
      <c r="K35" s="192">
        <f>IF(CO2_Standards="NFPA 12",'raw data'!N35,IF(CO2_Standards="BS 5306 - 4",'raw data'!Q35))</f>
        <v>36</v>
      </c>
      <c r="L35" s="192">
        <f>IF(CO2_Standards="NFPA 12",'raw data'!O35,IF(CO2_Standards="BS 5306 - 4",'raw data'!R35))</f>
        <v>0</v>
      </c>
      <c r="M35" s="191" t="s">
        <v>46</v>
      </c>
      <c r="N35" s="193">
        <v>36</v>
      </c>
      <c r="O35" s="158">
        <f>IF(S.F._Fule_Type=M35,'raw data'!N35,0)</f>
        <v>0</v>
      </c>
    </row>
    <row r="36" spans="10:15" ht="15.75" x14ac:dyDescent="0.2">
      <c r="J36" s="191" t="str">
        <f>IF(CO2_Standards="NFPA 12",'raw data'!M36,IF(CO2_Standards="BS 5306 - 4",'raw data'!P36))</f>
        <v>Methyl Ethyl Ketone</v>
      </c>
      <c r="K36" s="192">
        <f>IF(CO2_Standards="NFPA 12",'raw data'!N36,IF(CO2_Standards="BS 5306 - 4",'raw data'!Q36))</f>
        <v>40</v>
      </c>
      <c r="L36" s="192">
        <f>IF(CO2_Standards="NFPA 12",'raw data'!O36,IF(CO2_Standards="BS 5306 - 4",'raw data'!R36))</f>
        <v>0</v>
      </c>
      <c r="M36" s="191" t="s">
        <v>47</v>
      </c>
      <c r="N36" s="193">
        <v>40</v>
      </c>
      <c r="O36" s="158">
        <f>IF(S.F._Fule_Type=M36,'raw data'!N36,0)</f>
        <v>0</v>
      </c>
    </row>
    <row r="37" spans="10:15" ht="15.75" x14ac:dyDescent="0.2">
      <c r="J37" s="191" t="str">
        <f>IF(CO2_Standards="NFPA 12",'raw data'!M37,IF(CO2_Standards="BS 5306 - 4",'raw data'!P37))</f>
        <v>Methyl Ethyl  formate</v>
      </c>
      <c r="K37" s="192">
        <f>IF(CO2_Standards="NFPA 12",'raw data'!N37,IF(CO2_Standards="BS 5306 - 4",'raw data'!Q37))</f>
        <v>39</v>
      </c>
      <c r="L37" s="192">
        <f>IF(CO2_Standards="NFPA 12",'raw data'!O37,IF(CO2_Standards="BS 5306 - 4",'raw data'!R37))</f>
        <v>0</v>
      </c>
      <c r="M37" s="191" t="s">
        <v>48</v>
      </c>
      <c r="N37" s="193">
        <v>39</v>
      </c>
      <c r="O37" s="158">
        <f>IF(S.F._Fule_Type=M37,'raw data'!N37,0)</f>
        <v>0</v>
      </c>
    </row>
    <row r="38" spans="10:15" ht="15.75" x14ac:dyDescent="0.2">
      <c r="J38" s="191" t="str">
        <f>IF(CO2_Standards="NFPA 12",'raw data'!M38,IF(CO2_Standards="BS 5306 - 4",'raw data'!P38))</f>
        <v>Pentane</v>
      </c>
      <c r="K38" s="192">
        <f>IF(CO2_Standards="NFPA 12",'raw data'!N38,IF(CO2_Standards="BS 5306 - 4",'raw data'!Q38))</f>
        <v>35</v>
      </c>
      <c r="L38" s="192">
        <f>IF(CO2_Standards="NFPA 12",'raw data'!O38,IF(CO2_Standards="BS 5306 - 4",'raw data'!R38))</f>
        <v>0</v>
      </c>
      <c r="M38" s="191" t="s">
        <v>23</v>
      </c>
      <c r="N38" s="193">
        <v>35</v>
      </c>
      <c r="O38" s="158">
        <f>IF(S.F._Fule_Type=M38,'raw data'!N38,0)</f>
        <v>0</v>
      </c>
    </row>
    <row r="39" spans="10:15" ht="15.75" x14ac:dyDescent="0.2">
      <c r="J39" s="191" t="str">
        <f>IF(CO2_Standards="NFPA 12",'raw data'!M39,IF(CO2_Standards="BS 5306 - 4",'raw data'!P39))</f>
        <v>Propane</v>
      </c>
      <c r="K39" s="192">
        <f>IF(CO2_Standards="NFPA 12",'raw data'!N39,IF(CO2_Standards="BS 5306 - 4",'raw data'!Q39))</f>
        <v>36</v>
      </c>
      <c r="L39" s="192">
        <f>IF(CO2_Standards="NFPA 12",'raw data'!O39,IF(CO2_Standards="BS 5306 - 4",'raw data'!R39))</f>
        <v>0</v>
      </c>
      <c r="M39" s="191" t="s">
        <v>24</v>
      </c>
      <c r="N39" s="193">
        <v>36</v>
      </c>
      <c r="O39" s="158">
        <f>IF(S.F._Fule_Type=M39,'raw data'!N39,0)</f>
        <v>0</v>
      </c>
    </row>
    <row r="40" spans="10:15" ht="15.75" x14ac:dyDescent="0.2">
      <c r="J40" s="191" t="str">
        <f>IF(CO2_Standards="NFPA 12",'raw data'!M40,IF(CO2_Standards="BS 5306 - 4",'raw data'!P40))</f>
        <v>Propylene</v>
      </c>
      <c r="K40" s="192">
        <f>IF(CO2_Standards="NFPA 12",'raw data'!N40,IF(CO2_Standards="BS 5306 - 4",'raw data'!Q40))</f>
        <v>36</v>
      </c>
      <c r="L40" s="192">
        <f>IF(CO2_Standards="NFPA 12",'raw data'!O40,IF(CO2_Standards="BS 5306 - 4",'raw data'!R40))</f>
        <v>0</v>
      </c>
      <c r="M40" s="191" t="s">
        <v>49</v>
      </c>
      <c r="N40" s="193">
        <v>36</v>
      </c>
      <c r="O40" s="158">
        <f>IF(S.F._Fule_Type=M40,'raw data'!N40,0)</f>
        <v>0</v>
      </c>
    </row>
    <row r="41" spans="10:15" ht="16.5" thickBot="1" x14ac:dyDescent="0.25">
      <c r="J41" s="191" t="str">
        <f>IF(CO2_Standards="NFPA 12",'raw data'!M41,IF(CO2_Standards="BS 5306 - 4",'raw data'!P41))</f>
        <v>Quenching, lubricating oils</v>
      </c>
      <c r="K41" s="192">
        <f>IF(CO2_Standards="NFPA 12",'raw data'!N41,IF(CO2_Standards="BS 5306 - 4",'raw data'!Q41))</f>
        <v>34</v>
      </c>
      <c r="L41" s="192">
        <f>IF(CO2_Standards="NFPA 12",'raw data'!O41,IF(CO2_Standards="BS 5306 - 4",'raw data'!R41))</f>
        <v>0</v>
      </c>
      <c r="M41" s="196" t="s">
        <v>25</v>
      </c>
      <c r="N41" s="197">
        <v>34</v>
      </c>
      <c r="O41" s="158">
        <f>IF(S.F._Fule_Type=M41,'raw data'!N41,0)</f>
        <v>0</v>
      </c>
    </row>
    <row r="42" spans="10:15" x14ac:dyDescent="0.2">
      <c r="J42" s="191" t="str">
        <f>IF(CO2_Standards="NFPA 12",'raw data'!M42,IF(CO2_Standards="BS 5306 - 4",'raw data'!P42))</f>
        <v>Other</v>
      </c>
      <c r="K42" s="192">
        <f>IF(CO2_Standards="NFPA 12",'raw data'!N42,IF(CO2_Standards="BS 5306 - 4",'raw data'!Q42))</f>
        <v>0</v>
      </c>
      <c r="L42" s="192">
        <f>IF(CO2_Standards="NFPA 12",'raw data'!O42,IF(CO2_Standards="BS 5306 - 4",'raw data'!R42))</f>
        <v>0</v>
      </c>
      <c r="M42" s="187" t="s">
        <v>205</v>
      </c>
      <c r="N42" s="187"/>
      <c r="O42" s="195"/>
    </row>
    <row r="43" spans="10:15" x14ac:dyDescent="0.2">
      <c r="L43" s="198">
        <f t="shared" ref="L43" si="1">SUM(L2:L42)</f>
        <v>34</v>
      </c>
      <c r="M43" s="195"/>
      <c r="N43" s="195"/>
      <c r="O43" s="195"/>
    </row>
  </sheetData>
  <sheetProtection password="8BE7" sheet="1" objects="1" scenarios="1"/>
  <pageMargins left="0.7" right="0.7" top="0.75" bottom="0.75" header="0.3" footer="0.3"/>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1"/>
  <sheetViews>
    <sheetView showGridLines="0" view="pageBreakPreview" zoomScale="110" workbookViewId="0">
      <pane ySplit="9" topLeftCell="A10" activePane="bottomLeft" state="frozen"/>
      <selection activeCell="A4" sqref="A4:Q4"/>
      <selection pane="bottomLeft" activeCell="E4" sqref="E4:I4"/>
    </sheetView>
  </sheetViews>
  <sheetFormatPr defaultColWidth="9.140625" defaultRowHeight="12.75" x14ac:dyDescent="0.2"/>
  <cols>
    <col min="1" max="1" width="34.42578125" style="27" bestFit="1" customWidth="1"/>
    <col min="2" max="2" width="22.7109375" style="27" customWidth="1"/>
    <col min="3" max="3" width="25.7109375" style="27" customWidth="1"/>
    <col min="4" max="16384" width="9.140625" style="27"/>
  </cols>
  <sheetData>
    <row r="1" spans="1:17" s="1" customFormat="1" ht="30" customHeight="1" x14ac:dyDescent="0.2">
      <c r="A1" s="270" t="s">
        <v>153</v>
      </c>
      <c r="B1" s="270"/>
      <c r="C1" s="270"/>
      <c r="D1" s="74"/>
      <c r="E1" s="74"/>
      <c r="F1" s="74"/>
      <c r="G1" s="74"/>
      <c r="H1" s="74"/>
      <c r="I1" s="74"/>
    </row>
    <row r="2" spans="1:17" s="1" customFormat="1" ht="20.100000000000001" customHeight="1" x14ac:dyDescent="0.25">
      <c r="A2" s="340" t="s">
        <v>88</v>
      </c>
      <c r="B2" s="340"/>
      <c r="C2" s="340"/>
      <c r="D2" s="75"/>
      <c r="E2" s="75"/>
      <c r="F2" s="75"/>
      <c r="G2" s="75"/>
      <c r="H2" s="75"/>
      <c r="I2" s="75"/>
      <c r="J2" s="161"/>
      <c r="K2" s="76"/>
      <c r="L2" s="154"/>
      <c r="M2" s="154"/>
      <c r="N2" s="154"/>
      <c r="O2" s="27"/>
      <c r="P2" s="27"/>
      <c r="Q2" s="27"/>
    </row>
    <row r="3" spans="1:17" s="1" customFormat="1" ht="20.100000000000001" customHeight="1" x14ac:dyDescent="0.2">
      <c r="A3" s="271" t="s">
        <v>157</v>
      </c>
      <c r="B3" s="271"/>
      <c r="C3" s="271"/>
      <c r="D3" s="77"/>
    </row>
    <row r="4" spans="1:17" s="1" customFormat="1" ht="30" customHeight="1" x14ac:dyDescent="0.2">
      <c r="A4" s="374" t="s">
        <v>228</v>
      </c>
      <c r="B4" s="374"/>
      <c r="C4" s="374"/>
      <c r="D4" s="78"/>
      <c r="E4" s="338" t="s">
        <v>151</v>
      </c>
      <c r="F4" s="338"/>
      <c r="G4" s="338"/>
      <c r="H4" s="338"/>
      <c r="I4" s="338"/>
      <c r="J4" s="161"/>
      <c r="K4" s="76"/>
    </row>
    <row r="5" spans="1:17" s="1" customFormat="1" ht="10.15" customHeight="1" x14ac:dyDescent="0.2">
      <c r="A5" s="156"/>
      <c r="B5" s="156"/>
      <c r="C5" s="156"/>
      <c r="D5" s="78"/>
      <c r="E5" s="160"/>
      <c r="F5" s="160"/>
      <c r="G5" s="160"/>
      <c r="H5" s="160"/>
      <c r="I5" s="160"/>
      <c r="J5" s="161"/>
      <c r="K5" s="76"/>
    </row>
    <row r="6" spans="1:17" s="70" customFormat="1" ht="15" customHeight="1" x14ac:dyDescent="0.25">
      <c r="A6" s="412" t="str">
        <f>IF(Fire_Type=2,Project.Name,"This Page is incorrect Field, You Selected Deep Seated Fires Field but This Field is acoording to Surface Fires")</f>
        <v>This Page is incorrect Field, You Selected Deep Seated Fires Field but This Field is acoording to Surface Fires</v>
      </c>
      <c r="B6" s="412"/>
      <c r="C6" s="412"/>
      <c r="D6" s="186"/>
      <c r="E6" s="66"/>
      <c r="F6" s="66"/>
      <c r="G6" s="66"/>
      <c r="H6" s="66"/>
      <c r="I6" s="66"/>
      <c r="J6" s="66"/>
      <c r="K6" s="66"/>
      <c r="L6" s="66"/>
      <c r="M6" s="66"/>
      <c r="N6" s="66"/>
      <c r="O6" s="66"/>
    </row>
    <row r="7" spans="1:17" s="70" customFormat="1" ht="10.15" customHeight="1" x14ac:dyDescent="0.25">
      <c r="A7" s="410"/>
      <c r="B7" s="410"/>
      <c r="C7" s="410"/>
      <c r="D7" s="185"/>
      <c r="E7" s="66"/>
      <c r="F7" s="66"/>
      <c r="G7" s="66"/>
      <c r="H7" s="66"/>
      <c r="I7" s="66"/>
      <c r="J7" s="66"/>
      <c r="K7" s="66"/>
      <c r="L7" s="66"/>
      <c r="M7" s="66"/>
      <c r="N7" s="66"/>
      <c r="O7" s="66"/>
    </row>
    <row r="8" spans="1:17" ht="30" customHeight="1" x14ac:dyDescent="0.2">
      <c r="A8" s="410" t="s">
        <v>146</v>
      </c>
      <c r="B8" s="410"/>
      <c r="C8" s="410"/>
      <c r="D8" s="411"/>
      <c r="E8" s="409"/>
      <c r="F8" s="409"/>
      <c r="G8" s="409"/>
      <c r="H8" s="409"/>
    </row>
    <row r="9" spans="1:17" ht="30" customHeight="1" x14ac:dyDescent="0.25">
      <c r="A9" s="157" t="s">
        <v>5</v>
      </c>
      <c r="B9" s="79" t="s">
        <v>111</v>
      </c>
      <c r="C9" s="178" t="s">
        <v>227</v>
      </c>
      <c r="D9" s="411"/>
      <c r="E9" s="354"/>
      <c r="F9" s="354"/>
      <c r="G9" s="354"/>
      <c r="H9" s="354"/>
    </row>
    <row r="10" spans="1:17" ht="21.2" customHeight="1" x14ac:dyDescent="0.3">
      <c r="A10" s="80" t="s">
        <v>6</v>
      </c>
      <c r="B10" s="81">
        <v>66</v>
      </c>
      <c r="C10" s="81">
        <v>2.5</v>
      </c>
      <c r="D10" s="82"/>
    </row>
    <row r="11" spans="1:17" ht="21.2" customHeight="1" x14ac:dyDescent="0.3">
      <c r="A11" s="80" t="s">
        <v>7</v>
      </c>
      <c r="B11" s="81">
        <v>34</v>
      </c>
      <c r="C11" s="81">
        <v>1</v>
      </c>
      <c r="D11" s="82"/>
      <c r="E11" s="414"/>
      <c r="F11" s="414"/>
      <c r="G11" s="414"/>
      <c r="H11" s="414"/>
      <c r="I11" s="414"/>
      <c r="J11" s="414"/>
    </row>
    <row r="12" spans="1:17" ht="21.2" customHeight="1" x14ac:dyDescent="0.3">
      <c r="A12" s="80" t="s">
        <v>8</v>
      </c>
      <c r="B12" s="81">
        <v>37</v>
      </c>
      <c r="C12" s="81">
        <v>1.1000000000000001</v>
      </c>
      <c r="D12" s="82"/>
      <c r="E12" s="414"/>
      <c r="F12" s="414"/>
      <c r="G12" s="414"/>
      <c r="H12" s="414"/>
      <c r="I12" s="414"/>
      <c r="J12" s="414"/>
    </row>
    <row r="13" spans="1:17" ht="21.2" customHeight="1" x14ac:dyDescent="0.3">
      <c r="A13" s="80" t="s">
        <v>9</v>
      </c>
      <c r="B13" s="81">
        <v>34</v>
      </c>
      <c r="C13" s="81">
        <v>1</v>
      </c>
      <c r="D13" s="82"/>
      <c r="E13" s="414"/>
      <c r="F13" s="414"/>
      <c r="G13" s="414"/>
      <c r="H13" s="414"/>
      <c r="I13" s="414"/>
      <c r="J13" s="414"/>
    </row>
    <row r="14" spans="1:17" ht="21.2" customHeight="1" x14ac:dyDescent="0.3">
      <c r="A14" s="80" t="s">
        <v>229</v>
      </c>
      <c r="B14" s="81">
        <v>37</v>
      </c>
      <c r="C14" s="81">
        <v>1.3</v>
      </c>
      <c r="D14" s="82"/>
      <c r="E14" s="115"/>
      <c r="F14" s="417"/>
      <c r="G14" s="417"/>
      <c r="H14" s="159"/>
      <c r="I14" s="415"/>
      <c r="J14" s="415"/>
    </row>
    <row r="15" spans="1:17" ht="21.2" customHeight="1" x14ac:dyDescent="0.3">
      <c r="A15" s="80" t="s">
        <v>33</v>
      </c>
      <c r="B15" s="81">
        <v>72</v>
      </c>
      <c r="C15" s="81">
        <v>3</v>
      </c>
      <c r="D15" s="82"/>
      <c r="E15" s="115"/>
      <c r="F15" s="417"/>
      <c r="G15" s="417"/>
      <c r="H15" s="159"/>
      <c r="I15" s="415"/>
      <c r="J15" s="415"/>
    </row>
    <row r="16" spans="1:17" ht="21.2" customHeight="1" x14ac:dyDescent="0.3">
      <c r="A16" s="80" t="s">
        <v>10</v>
      </c>
      <c r="B16" s="81">
        <v>64</v>
      </c>
      <c r="C16" s="81">
        <v>2.4</v>
      </c>
      <c r="D16" s="82"/>
      <c r="E16" s="115"/>
      <c r="F16" s="417"/>
      <c r="G16" s="417"/>
      <c r="H16" s="159"/>
      <c r="I16" s="415"/>
      <c r="J16" s="415"/>
    </row>
    <row r="17" spans="1:10" ht="21.2" customHeight="1" x14ac:dyDescent="0.3">
      <c r="A17" s="80" t="s">
        <v>11</v>
      </c>
      <c r="B17" s="81">
        <v>37</v>
      </c>
      <c r="C17" s="81">
        <v>1.1000000000000001</v>
      </c>
      <c r="D17" s="82"/>
      <c r="E17" s="37"/>
      <c r="F17" s="416"/>
      <c r="G17" s="416"/>
      <c r="H17" s="158"/>
      <c r="I17" s="415"/>
      <c r="J17" s="415"/>
    </row>
    <row r="18" spans="1:10" ht="21.2" customHeight="1" x14ac:dyDescent="0.3">
      <c r="A18" s="80" t="s">
        <v>12</v>
      </c>
      <c r="B18" s="81">
        <v>37</v>
      </c>
      <c r="C18" s="81">
        <v>1.1000000000000001</v>
      </c>
      <c r="D18" s="82"/>
    </row>
    <row r="19" spans="1:10" ht="21.2" customHeight="1" x14ac:dyDescent="0.3">
      <c r="A19" s="80" t="s">
        <v>36</v>
      </c>
      <c r="B19" s="81">
        <v>40</v>
      </c>
      <c r="C19" s="81">
        <v>1.5</v>
      </c>
      <c r="D19" s="82"/>
    </row>
    <row r="20" spans="1:10" ht="21.2" customHeight="1" x14ac:dyDescent="0.3">
      <c r="A20" s="80" t="s">
        <v>13</v>
      </c>
      <c r="B20" s="81">
        <v>46</v>
      </c>
      <c r="C20" s="81">
        <v>1.5</v>
      </c>
      <c r="D20" s="82"/>
    </row>
    <row r="21" spans="1:10" ht="21.2" customHeight="1" x14ac:dyDescent="0.3">
      <c r="A21" s="80" t="s">
        <v>14</v>
      </c>
      <c r="B21" s="81">
        <v>40</v>
      </c>
      <c r="C21" s="81">
        <v>1.2</v>
      </c>
      <c r="D21" s="82"/>
    </row>
    <row r="22" spans="1:10" ht="21.2" customHeight="1" x14ac:dyDescent="0.3">
      <c r="A22" s="80" t="s">
        <v>34</v>
      </c>
      <c r="B22" s="81">
        <v>43</v>
      </c>
      <c r="C22" s="81">
        <v>1.3</v>
      </c>
      <c r="D22" s="82"/>
    </row>
    <row r="23" spans="1:10" ht="21.2" customHeight="1" x14ac:dyDescent="0.3">
      <c r="A23" s="80" t="s">
        <v>15</v>
      </c>
      <c r="B23" s="81">
        <v>49</v>
      </c>
      <c r="C23" s="81">
        <v>1.6</v>
      </c>
      <c r="D23" s="82"/>
    </row>
    <row r="24" spans="1:10" ht="21.2" customHeight="1" x14ac:dyDescent="0.3">
      <c r="A24" s="80" t="s">
        <v>16</v>
      </c>
      <c r="B24" s="81">
        <v>25</v>
      </c>
      <c r="C24" s="81">
        <v>1</v>
      </c>
      <c r="D24" s="82"/>
    </row>
    <row r="25" spans="1:10" ht="21.2" customHeight="1" x14ac:dyDescent="0.3">
      <c r="A25" s="80" t="s">
        <v>17</v>
      </c>
      <c r="B25" s="81">
        <v>53</v>
      </c>
      <c r="C25" s="81">
        <v>1.75</v>
      </c>
      <c r="D25" s="82"/>
    </row>
    <row r="26" spans="1:10" ht="21.2" customHeight="1" x14ac:dyDescent="0.3">
      <c r="A26" s="80" t="s">
        <v>18</v>
      </c>
      <c r="B26" s="81">
        <v>35</v>
      </c>
      <c r="C26" s="81">
        <v>1.1000000000000001</v>
      </c>
      <c r="D26" s="82"/>
    </row>
    <row r="27" spans="1:10" ht="21.2" customHeight="1" x14ac:dyDescent="0.3">
      <c r="A27" s="80" t="s">
        <v>19</v>
      </c>
      <c r="B27" s="81">
        <v>75</v>
      </c>
      <c r="C27" s="81">
        <v>3.3</v>
      </c>
      <c r="D27" s="82"/>
    </row>
    <row r="28" spans="1:10" ht="21.2" customHeight="1" x14ac:dyDescent="0.3">
      <c r="A28" s="80" t="s">
        <v>20</v>
      </c>
      <c r="B28" s="81">
        <v>36</v>
      </c>
      <c r="C28" s="81">
        <v>1.1000000000000001</v>
      </c>
      <c r="D28" s="82"/>
    </row>
    <row r="29" spans="1:10" ht="21.2" customHeight="1" x14ac:dyDescent="0.3">
      <c r="A29" s="80" t="s">
        <v>21</v>
      </c>
      <c r="B29" s="81">
        <v>34</v>
      </c>
      <c r="C29" s="81">
        <v>1</v>
      </c>
      <c r="D29" s="82"/>
    </row>
    <row r="30" spans="1:10" ht="21.2" customHeight="1" x14ac:dyDescent="0.3">
      <c r="A30" s="80" t="s">
        <v>22</v>
      </c>
      <c r="B30" s="81">
        <v>34</v>
      </c>
      <c r="C30" s="81">
        <v>1</v>
      </c>
      <c r="D30" s="82"/>
    </row>
    <row r="31" spans="1:10" ht="21.2" customHeight="1" x14ac:dyDescent="0.3">
      <c r="A31" s="80" t="s">
        <v>45</v>
      </c>
      <c r="B31" s="81">
        <v>40</v>
      </c>
      <c r="C31" s="81">
        <v>1.2</v>
      </c>
      <c r="D31" s="82"/>
    </row>
    <row r="32" spans="1:10" ht="21.2" customHeight="1" x14ac:dyDescent="0.3">
      <c r="A32" s="80" t="s">
        <v>23</v>
      </c>
      <c r="B32" s="81">
        <v>35</v>
      </c>
      <c r="C32" s="81">
        <v>1.1000000000000001</v>
      </c>
      <c r="D32" s="82"/>
    </row>
    <row r="33" spans="1:4" ht="21.2" customHeight="1" x14ac:dyDescent="0.3">
      <c r="A33" s="80" t="s">
        <v>230</v>
      </c>
      <c r="B33" s="81">
        <v>34</v>
      </c>
      <c r="C33" s="81">
        <v>1</v>
      </c>
      <c r="D33" s="82"/>
    </row>
    <row r="34" spans="1:4" ht="21.2" customHeight="1" x14ac:dyDescent="0.3">
      <c r="A34" s="80" t="s">
        <v>24</v>
      </c>
      <c r="B34" s="81">
        <v>36</v>
      </c>
      <c r="C34" s="81">
        <v>1.1000000000000001</v>
      </c>
      <c r="D34" s="82"/>
    </row>
    <row r="35" spans="1:4" ht="21.2" customHeight="1" x14ac:dyDescent="0.3">
      <c r="A35" s="80" t="s">
        <v>231</v>
      </c>
      <c r="B35" s="86">
        <v>36</v>
      </c>
      <c r="C35" s="81">
        <v>1.1000000000000001</v>
      </c>
      <c r="D35" s="82"/>
    </row>
    <row r="36" spans="1:4" ht="21.2" customHeight="1" x14ac:dyDescent="0.3">
      <c r="A36" s="80" t="s">
        <v>25</v>
      </c>
      <c r="B36" s="81">
        <v>34</v>
      </c>
      <c r="C36" s="81">
        <v>1</v>
      </c>
      <c r="D36" s="82"/>
    </row>
    <row r="37" spans="1:4" ht="20.25" x14ac:dyDescent="0.3">
      <c r="A37" s="84"/>
      <c r="B37" s="84"/>
      <c r="C37" s="84"/>
    </row>
    <row r="41" spans="1:4" s="86" customFormat="1" ht="39.950000000000003" customHeight="1" x14ac:dyDescent="0.2">
      <c r="A41" s="413"/>
      <c r="B41" s="413"/>
      <c r="C41" s="413"/>
      <c r="D41" s="85"/>
    </row>
  </sheetData>
  <sheetProtection password="8BE7" sheet="1" objects="1" scenarios="1"/>
  <mergeCells count="23">
    <mergeCell ref="A41:C41"/>
    <mergeCell ref="A7:C7"/>
    <mergeCell ref="A6:C6"/>
    <mergeCell ref="F15:G15"/>
    <mergeCell ref="I15:J15"/>
    <mergeCell ref="F16:G16"/>
    <mergeCell ref="I16:J16"/>
    <mergeCell ref="F17:G17"/>
    <mergeCell ref="I17:J17"/>
    <mergeCell ref="A8:C8"/>
    <mergeCell ref="D8:D9"/>
    <mergeCell ref="E8:H8"/>
    <mergeCell ref="E9:H9"/>
    <mergeCell ref="E11:J11"/>
    <mergeCell ref="E12:J12"/>
    <mergeCell ref="E13:J13"/>
    <mergeCell ref="F14:G14"/>
    <mergeCell ref="I14:J14"/>
    <mergeCell ref="A1:C1"/>
    <mergeCell ref="A2:C2"/>
    <mergeCell ref="A3:C3"/>
    <mergeCell ref="A4:C4"/>
    <mergeCell ref="E4:I4"/>
  </mergeCells>
  <hyperlinks>
    <hyperlink ref="L2:N2" location="'Protected Areas'!A1" display="back to Protected Areas"/>
    <hyperlink ref="E4:H4" location="'Protected Areas'!A1" display="back to Protected Areas"/>
  </hyperlinks>
  <printOptions horizontalCentered="1"/>
  <pageMargins left="0.39370078740157499" right="0.39370078740157499" top="0.7" bottom="1.5" header="0.511811023622047" footer="0.511811023622047"/>
  <pageSetup paperSize="9" fitToHeight="2" orientation="portrait" horizontalDpi="300" verticalDpi="300" r:id="rId1"/>
  <headerFooter alignWithMargins="0">
    <oddHeader>&amp;L&amp;G</oddHeader>
    <oddFooter>&amp;L&amp;"Cambria,Regular"&amp;8Tel  : +98 ( 21 ) 4420 1601
&amp;K00+000Tel  :&amp;K000000 +98 ( 21 ) 4420 1768
Fax : +98 ( 21 ) 4420 1934&amp;C&amp;"Cambria,Regular"&amp;8-  5  -&amp;R&amp;"Cambria,Regular"&amp;8Design by Ali  Cheraghi 
( BSEE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8656B2FD-E91C-4744-AF62-EB6020FD9219}">
            <xm:f>'Protected Areas'!$D$13=1</xm:f>
            <x14:dxf>
              <font>
                <color theme="0"/>
              </font>
              <fill>
                <patternFill>
                  <bgColor rgb="FFFF0000"/>
                </patternFill>
              </fill>
              <border>
                <left style="dotted">
                  <color auto="1"/>
                </left>
                <right style="dotted">
                  <color auto="1"/>
                </right>
                <top style="dotted">
                  <color auto="1"/>
                </top>
                <bottom style="dotted">
                  <color auto="1"/>
                </bottom>
                <vertical/>
                <horizontal/>
              </border>
            </x14:dxf>
          </x14:cfRule>
          <xm:sqref>A6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9" tint="-0.249977111117893"/>
    <pageSetUpPr fitToPage="1"/>
  </sheetPr>
  <dimension ref="A1:X28"/>
  <sheetViews>
    <sheetView showGridLines="0" view="pageBreakPreview" zoomScaleSheetLayoutView="100" workbookViewId="0">
      <pane ySplit="4" topLeftCell="A5" activePane="bottomLeft" state="frozen"/>
      <selection pane="bottomLeft" activeCell="T2" sqref="T2:W2"/>
    </sheetView>
  </sheetViews>
  <sheetFormatPr defaultColWidth="8.85546875" defaultRowHeight="12.75" x14ac:dyDescent="0.2"/>
  <cols>
    <col min="1" max="2" width="7.7109375" style="27" customWidth="1"/>
    <col min="3" max="3" width="8.7109375" style="27" customWidth="1"/>
    <col min="4" max="4" width="5.7109375" style="27" customWidth="1"/>
    <col min="5" max="8" width="8.7109375" style="27" customWidth="1"/>
    <col min="9" max="10" width="4.7109375" style="27" customWidth="1"/>
    <col min="11" max="14" width="8.7109375" style="27" customWidth="1"/>
    <col min="15" max="15" width="5.7109375" style="27" customWidth="1"/>
    <col min="16" max="16" width="8.7109375" style="27" customWidth="1"/>
    <col min="17" max="17" width="5.7109375" style="27" customWidth="1"/>
    <col min="18" max="18" width="5.5703125" style="27" customWidth="1"/>
    <col min="19" max="16384" width="8.85546875" style="27"/>
  </cols>
  <sheetData>
    <row r="1" spans="1:24" s="1" customFormat="1" ht="30" customHeight="1" x14ac:dyDescent="0.2">
      <c r="A1" s="270" t="s">
        <v>153</v>
      </c>
      <c r="B1" s="270"/>
      <c r="C1" s="270"/>
      <c r="D1" s="270"/>
      <c r="E1" s="270"/>
      <c r="F1" s="270"/>
      <c r="G1" s="270"/>
      <c r="H1" s="270"/>
      <c r="I1" s="270"/>
      <c r="J1" s="270"/>
      <c r="K1" s="270"/>
      <c r="L1" s="270"/>
      <c r="M1" s="270"/>
      <c r="N1" s="270"/>
      <c r="O1" s="270"/>
      <c r="P1" s="270"/>
      <c r="Q1" s="270"/>
    </row>
    <row r="2" spans="1:24" s="1" customFormat="1" ht="20.100000000000001" customHeight="1" x14ac:dyDescent="0.25">
      <c r="A2" s="340" t="s">
        <v>88</v>
      </c>
      <c r="B2" s="340"/>
      <c r="C2" s="340"/>
      <c r="D2" s="340"/>
      <c r="E2" s="340"/>
      <c r="F2" s="340"/>
      <c r="G2" s="340"/>
      <c r="H2" s="340"/>
      <c r="I2" s="340"/>
      <c r="J2" s="340"/>
      <c r="K2" s="340"/>
      <c r="L2" s="340"/>
      <c r="M2" s="340"/>
      <c r="N2" s="340"/>
      <c r="O2" s="340"/>
      <c r="P2" s="340"/>
      <c r="Q2" s="340"/>
      <c r="T2" s="354" t="s">
        <v>151</v>
      </c>
      <c r="U2" s="354"/>
      <c r="V2" s="354"/>
      <c r="W2" s="354"/>
    </row>
    <row r="3" spans="1:24" s="1" customFormat="1" ht="39.950000000000003" customHeight="1" x14ac:dyDescent="0.2">
      <c r="A3" s="374" t="s">
        <v>168</v>
      </c>
      <c r="B3" s="374"/>
      <c r="C3" s="374"/>
      <c r="D3" s="374"/>
      <c r="E3" s="374"/>
      <c r="F3" s="374"/>
      <c r="G3" s="374"/>
      <c r="H3" s="374"/>
      <c r="I3" s="374"/>
      <c r="J3" s="374"/>
      <c r="K3" s="374"/>
      <c r="L3" s="374"/>
      <c r="M3" s="374"/>
      <c r="N3" s="374"/>
      <c r="O3" s="374"/>
      <c r="P3" s="374"/>
      <c r="Q3" s="374"/>
    </row>
    <row r="4" spans="1:24" s="70" customFormat="1" ht="35.1" customHeight="1" x14ac:dyDescent="0.25">
      <c r="A4" s="428" t="str">
        <f>Project.Name</f>
        <v>Insert Project Name Sample</v>
      </c>
      <c r="B4" s="428"/>
      <c r="C4" s="428"/>
      <c r="D4" s="428"/>
      <c r="E4" s="428"/>
      <c r="F4" s="428"/>
      <c r="G4" s="428"/>
      <c r="H4" s="428"/>
      <c r="I4" s="428"/>
      <c r="J4" s="428"/>
      <c r="K4" s="428"/>
      <c r="L4" s="428"/>
      <c r="M4" s="428"/>
      <c r="N4" s="428"/>
      <c r="O4" s="428"/>
      <c r="P4" s="428"/>
      <c r="Q4" s="428"/>
    </row>
    <row r="6" spans="1:24" ht="65.099999999999994" customHeight="1" x14ac:dyDescent="0.2">
      <c r="A6" s="423" t="s">
        <v>167</v>
      </c>
      <c r="B6" s="431"/>
      <c r="C6" s="431"/>
      <c r="D6" s="431"/>
      <c r="E6" s="431"/>
      <c r="F6" s="431"/>
      <c r="G6" s="431"/>
      <c r="H6" s="431"/>
      <c r="I6" s="431"/>
      <c r="J6" s="431"/>
      <c r="K6" s="431"/>
      <c r="L6" s="431"/>
      <c r="M6" s="431"/>
      <c r="N6" s="431"/>
      <c r="O6" s="431"/>
      <c r="P6" s="431"/>
      <c r="Q6" s="431"/>
    </row>
    <row r="8" spans="1:24" ht="15" customHeight="1" x14ac:dyDescent="0.2">
      <c r="A8" s="71"/>
      <c r="B8" s="71"/>
      <c r="C8" s="71"/>
      <c r="D8" s="31"/>
      <c r="E8" s="32"/>
      <c r="F8" s="32"/>
      <c r="G8" s="32"/>
      <c r="H8" s="32"/>
      <c r="I8" s="32"/>
      <c r="J8" s="32"/>
      <c r="K8" s="32"/>
      <c r="L8" s="32"/>
      <c r="M8" s="32"/>
      <c r="N8" s="32"/>
      <c r="O8" s="32"/>
      <c r="P8" s="32"/>
      <c r="Q8" s="115"/>
      <c r="R8" s="115"/>
      <c r="S8" s="115"/>
      <c r="T8" s="22"/>
      <c r="U8" s="22"/>
      <c r="V8" s="22"/>
      <c r="W8" s="115"/>
      <c r="X8" s="113"/>
    </row>
    <row r="9" spans="1:24" ht="17.25" x14ac:dyDescent="0.2">
      <c r="A9" s="429" t="s">
        <v>98</v>
      </c>
      <c r="B9" s="429"/>
      <c r="C9" s="429"/>
      <c r="D9" s="429"/>
      <c r="E9" s="429"/>
      <c r="F9" s="429"/>
      <c r="G9" s="429"/>
      <c r="H9" s="429"/>
      <c r="I9" s="429"/>
      <c r="J9" s="429"/>
      <c r="K9" s="429"/>
      <c r="L9" s="429"/>
      <c r="M9" s="429"/>
      <c r="N9" s="429"/>
      <c r="O9" s="429"/>
      <c r="P9" s="429"/>
      <c r="Q9" s="111"/>
      <c r="R9" s="111"/>
      <c r="S9" s="33"/>
      <c r="T9" s="33"/>
    </row>
    <row r="10" spans="1:24" ht="14.25" x14ac:dyDescent="0.2">
      <c r="A10" s="111"/>
      <c r="B10" s="111"/>
      <c r="C10" s="111"/>
      <c r="D10" s="111"/>
      <c r="E10" s="111"/>
      <c r="F10" s="111"/>
      <c r="G10" s="111"/>
      <c r="H10" s="111"/>
      <c r="I10" s="111"/>
      <c r="J10" s="111"/>
      <c r="K10" s="111"/>
      <c r="L10" s="111"/>
      <c r="M10" s="111"/>
      <c r="N10" s="111"/>
      <c r="O10" s="111"/>
      <c r="P10" s="111"/>
      <c r="Q10" s="111"/>
      <c r="R10" s="111"/>
      <c r="S10" s="33"/>
      <c r="T10" s="33"/>
    </row>
    <row r="11" spans="1:24" ht="20.100000000000001" customHeight="1" x14ac:dyDescent="0.2">
      <c r="A11" s="113"/>
      <c r="B11" s="113"/>
      <c r="C11" s="26"/>
      <c r="D11" s="113"/>
      <c r="E11" s="113"/>
      <c r="F11" s="430" t="s">
        <v>99</v>
      </c>
      <c r="G11" s="430"/>
      <c r="H11" s="430"/>
      <c r="I11" s="432">
        <f>IF(C13&gt;93,'Protected Areas'!O61*0.01*(C13-93)/2.8,0)</f>
        <v>0</v>
      </c>
      <c r="J11" s="432"/>
      <c r="K11" s="34" t="s">
        <v>85</v>
      </c>
      <c r="L11" s="113"/>
      <c r="M11" s="113"/>
      <c r="N11" s="113"/>
      <c r="O11" s="113"/>
      <c r="P11" s="113"/>
      <c r="Q11" s="113"/>
      <c r="R11" s="113"/>
      <c r="S11" s="28"/>
    </row>
    <row r="12" spans="1:24" ht="15.75" x14ac:dyDescent="0.2">
      <c r="A12" s="113"/>
      <c r="B12" s="113"/>
      <c r="C12" s="26"/>
      <c r="D12" s="113"/>
      <c r="E12" s="113"/>
      <c r="F12" s="113"/>
      <c r="G12" s="113"/>
      <c r="H12" s="121"/>
      <c r="I12" s="121"/>
      <c r="J12" s="35"/>
      <c r="K12" s="113"/>
      <c r="L12" s="113"/>
      <c r="M12" s="113"/>
      <c r="N12" s="113"/>
      <c r="O12" s="113"/>
      <c r="P12" s="113"/>
      <c r="Q12" s="113"/>
      <c r="R12" s="113"/>
    </row>
    <row r="13" spans="1:24" ht="20.100000000000001" customHeight="1" x14ac:dyDescent="0.2">
      <c r="A13" s="430" t="s">
        <v>53</v>
      </c>
      <c r="B13" s="430"/>
      <c r="C13" s="114">
        <f>Temp</f>
        <v>28</v>
      </c>
      <c r="D13" s="117" t="s">
        <v>84</v>
      </c>
      <c r="E13" s="427" t="str">
        <f>IF(P13&gt;Total_Agent_Basic,"ATTENTION : Muste be Used from LOCAL  APPLICATION  Metod",IF(P13=0,"NO Additional Quantity of Co2 Require","Additional Quantity of CO2 Require to Temperature Compensated"))</f>
        <v>NO Additional Quantity of Co2 Require</v>
      </c>
      <c r="F13" s="427"/>
      <c r="G13" s="427"/>
      <c r="H13" s="427"/>
      <c r="I13" s="427"/>
      <c r="J13" s="427"/>
      <c r="K13" s="427"/>
      <c r="L13" s="427"/>
      <c r="M13" s="427"/>
      <c r="N13" s="427"/>
      <c r="O13" s="117"/>
      <c r="P13" s="118">
        <f>IF(C13&gt;93,I11,IF(C13&lt;-18,-I18,0))</f>
        <v>0</v>
      </c>
      <c r="Q13" s="23" t="s">
        <v>4</v>
      </c>
      <c r="R13" s="113"/>
      <c r="S13" s="28"/>
    </row>
    <row r="14" spans="1:24" ht="14.25" x14ac:dyDescent="0.2">
      <c r="A14" s="113"/>
      <c r="B14" s="113"/>
      <c r="C14" s="26"/>
      <c r="D14" s="113"/>
      <c r="E14" s="113"/>
      <c r="F14" s="113"/>
      <c r="G14" s="113"/>
      <c r="H14" s="113"/>
      <c r="I14" s="113"/>
      <c r="J14" s="26"/>
      <c r="K14" s="113"/>
      <c r="L14" s="113"/>
      <c r="M14" s="113"/>
      <c r="N14" s="113"/>
      <c r="O14" s="113"/>
      <c r="P14" s="113"/>
      <c r="Q14" s="113"/>
      <c r="R14" s="113"/>
      <c r="S14" s="28"/>
    </row>
    <row r="15" spans="1:24" ht="14.25" x14ac:dyDescent="0.2">
      <c r="A15" s="113"/>
      <c r="B15" s="113"/>
      <c r="C15" s="26"/>
      <c r="D15" s="113"/>
      <c r="E15" s="113"/>
      <c r="F15" s="113"/>
      <c r="G15" s="113"/>
      <c r="H15" s="113"/>
      <c r="I15" s="113"/>
      <c r="J15" s="26"/>
      <c r="K15" s="113"/>
      <c r="L15" s="113"/>
      <c r="M15" s="113"/>
      <c r="N15" s="113"/>
      <c r="O15" s="113"/>
      <c r="P15" s="113"/>
      <c r="Q15" s="113"/>
      <c r="R15" s="113"/>
      <c r="S15" s="28"/>
    </row>
    <row r="16" spans="1:24" ht="17.25" x14ac:dyDescent="0.2">
      <c r="A16" s="429" t="s">
        <v>100</v>
      </c>
      <c r="B16" s="429"/>
      <c r="C16" s="429"/>
      <c r="D16" s="429"/>
      <c r="E16" s="429"/>
      <c r="F16" s="429"/>
      <c r="G16" s="429"/>
      <c r="H16" s="429"/>
      <c r="I16" s="429"/>
      <c r="J16" s="429"/>
      <c r="K16" s="429"/>
      <c r="L16" s="429"/>
      <c r="M16" s="429"/>
      <c r="N16" s="429"/>
      <c r="O16" s="429"/>
      <c r="P16" s="429"/>
      <c r="Q16" s="111"/>
      <c r="R16" s="111"/>
      <c r="S16" s="33"/>
      <c r="T16" s="33"/>
    </row>
    <row r="17" spans="1:20" ht="14.25" x14ac:dyDescent="0.2">
      <c r="A17" s="111"/>
      <c r="B17" s="111"/>
      <c r="C17" s="111"/>
      <c r="D17" s="111"/>
      <c r="E17" s="111"/>
      <c r="F17" s="111"/>
      <c r="G17" s="111"/>
      <c r="H17" s="111"/>
      <c r="I17" s="111"/>
      <c r="J17" s="111"/>
      <c r="K17" s="111"/>
      <c r="L17" s="111"/>
      <c r="M17" s="111"/>
      <c r="N17" s="111"/>
      <c r="O17" s="111"/>
      <c r="P17" s="111"/>
      <c r="Q17" s="111"/>
      <c r="R17" s="111"/>
      <c r="S17" s="33"/>
      <c r="T17" s="33"/>
    </row>
    <row r="18" spans="1:20" ht="20.100000000000001" customHeight="1" x14ac:dyDescent="0.2">
      <c r="A18" s="113"/>
      <c r="B18" s="113"/>
      <c r="C18" s="26"/>
      <c r="D18" s="113"/>
      <c r="E18" s="113"/>
      <c r="F18" s="430" t="s">
        <v>101</v>
      </c>
      <c r="G18" s="430"/>
      <c r="H18" s="430"/>
      <c r="I18" s="432">
        <f>IF(C13&lt;-18,'Protected Areas'!O61*0.01*(C13+18),0)</f>
        <v>0</v>
      </c>
      <c r="J18" s="432"/>
      <c r="K18" s="34" t="s">
        <v>85</v>
      </c>
      <c r="L18" s="113"/>
      <c r="M18" s="113"/>
      <c r="N18" s="113"/>
      <c r="O18" s="113"/>
      <c r="P18" s="113"/>
      <c r="Q18" s="113"/>
      <c r="R18" s="113"/>
      <c r="S18" s="28"/>
    </row>
    <row r="19" spans="1:20" ht="9.9499999999999993" customHeight="1" x14ac:dyDescent="0.2">
      <c r="A19" s="113"/>
      <c r="B19" s="113"/>
      <c r="C19" s="26"/>
      <c r="D19" s="113"/>
      <c r="E19" s="113"/>
      <c r="F19" s="113"/>
      <c r="G19" s="113"/>
      <c r="H19" s="113"/>
      <c r="I19" s="113"/>
      <c r="J19" s="26"/>
      <c r="K19" s="113"/>
      <c r="L19" s="113"/>
      <c r="M19" s="113"/>
      <c r="N19" s="113"/>
      <c r="O19" s="113"/>
      <c r="P19" s="113"/>
      <c r="Q19" s="113"/>
      <c r="R19" s="113"/>
    </row>
    <row r="20" spans="1:20" ht="13.7" customHeight="1" x14ac:dyDescent="0.2">
      <c r="A20" s="113"/>
      <c r="B20" s="113"/>
      <c r="C20" s="113"/>
      <c r="D20" s="113"/>
      <c r="E20" s="113"/>
      <c r="F20" s="113"/>
      <c r="G20" s="113"/>
      <c r="H20" s="113"/>
      <c r="I20" s="113"/>
      <c r="J20" s="113"/>
      <c r="K20" s="113"/>
      <c r="L20" s="31"/>
      <c r="M20" s="115"/>
      <c r="N20" s="115"/>
      <c r="O20" s="115"/>
      <c r="P20" s="115"/>
      <c r="Q20" s="117"/>
      <c r="R20" s="113"/>
    </row>
    <row r="21" spans="1:20" ht="15" customHeight="1" x14ac:dyDescent="0.2">
      <c r="A21" s="113"/>
      <c r="B21" s="113"/>
      <c r="C21" s="113"/>
      <c r="D21" s="113"/>
      <c r="E21" s="113"/>
      <c r="F21" s="113"/>
      <c r="G21" s="115"/>
      <c r="H21" s="115"/>
      <c r="I21" s="115"/>
      <c r="J21" s="41"/>
      <c r="K21" s="41"/>
      <c r="L21" s="25"/>
      <c r="M21" s="115"/>
      <c r="N21" s="115"/>
      <c r="O21" s="115"/>
      <c r="P21" s="115"/>
      <c r="Q21" s="117"/>
      <c r="R21" s="113"/>
    </row>
    <row r="22" spans="1:20" ht="15" customHeight="1" x14ac:dyDescent="0.2">
      <c r="A22" s="72"/>
      <c r="B22" s="72"/>
      <c r="C22" s="72"/>
      <c r="D22" s="72"/>
      <c r="E22" s="72"/>
      <c r="F22" s="72"/>
      <c r="G22" s="72"/>
      <c r="H22" s="72"/>
      <c r="I22" s="72"/>
      <c r="J22" s="72"/>
      <c r="K22" s="72"/>
      <c r="L22" s="72"/>
      <c r="M22" s="72"/>
      <c r="N22" s="72"/>
      <c r="O22" s="72"/>
      <c r="P22" s="72"/>
      <c r="Q22" s="72"/>
      <c r="R22" s="113"/>
    </row>
    <row r="23" spans="1:20" ht="20.100000000000001" customHeight="1" x14ac:dyDescent="0.2">
      <c r="A23" s="72"/>
      <c r="B23" s="72"/>
      <c r="C23" s="72"/>
      <c r="D23" s="72"/>
      <c r="E23" s="72"/>
      <c r="F23" s="72"/>
      <c r="G23" s="72"/>
      <c r="H23" s="72"/>
      <c r="I23" s="72"/>
      <c r="J23" s="72"/>
      <c r="K23" s="72"/>
      <c r="L23" s="72"/>
      <c r="M23" s="72"/>
      <c r="N23" s="72"/>
      <c r="O23" s="72"/>
      <c r="P23" s="72"/>
      <c r="Q23" s="72"/>
      <c r="R23" s="113"/>
    </row>
    <row r="24" spans="1:20" ht="9.9499999999999993" customHeight="1" x14ac:dyDescent="0.2">
      <c r="A24" s="72"/>
      <c r="B24" s="72"/>
      <c r="C24" s="72"/>
      <c r="D24" s="72"/>
      <c r="E24" s="72"/>
      <c r="F24" s="72"/>
      <c r="G24" s="72"/>
      <c r="H24" s="72"/>
      <c r="I24" s="72"/>
      <c r="J24" s="72"/>
      <c r="K24" s="72"/>
      <c r="L24" s="72"/>
      <c r="M24" s="72"/>
      <c r="N24" s="72"/>
      <c r="O24" s="72"/>
      <c r="P24" s="72"/>
      <c r="Q24" s="72"/>
      <c r="R24" s="113"/>
    </row>
    <row r="25" spans="1:20" x14ac:dyDescent="0.2">
      <c r="A25" s="113"/>
      <c r="B25" s="113"/>
      <c r="C25" s="113"/>
      <c r="D25" s="113"/>
      <c r="E25" s="113"/>
      <c r="F25" s="113"/>
      <c r="G25" s="113"/>
      <c r="H25" s="113"/>
      <c r="I25" s="113"/>
      <c r="J25" s="113"/>
      <c r="K25" s="113"/>
      <c r="L25" s="113"/>
      <c r="M25" s="113"/>
      <c r="N25" s="113"/>
      <c r="O25" s="113"/>
      <c r="P25" s="113"/>
      <c r="Q25" s="113"/>
      <c r="R25" s="113"/>
    </row>
    <row r="26" spans="1:20" x14ac:dyDescent="0.2">
      <c r="A26" s="113"/>
      <c r="B26" s="113"/>
      <c r="C26" s="113"/>
      <c r="D26" s="113"/>
      <c r="E26" s="113"/>
      <c r="F26" s="113"/>
      <c r="G26" s="113"/>
      <c r="H26" s="113"/>
      <c r="I26" s="113"/>
      <c r="J26" s="113"/>
      <c r="K26" s="113"/>
      <c r="L26" s="113"/>
      <c r="M26" s="113"/>
      <c r="N26" s="113"/>
      <c r="O26" s="113"/>
      <c r="P26" s="113"/>
      <c r="Q26" s="113"/>
      <c r="R26" s="113"/>
    </row>
    <row r="27" spans="1:20" x14ac:dyDescent="0.2">
      <c r="A27" s="113"/>
      <c r="B27" s="113"/>
      <c r="C27" s="113"/>
      <c r="D27" s="113"/>
      <c r="E27" s="113"/>
      <c r="F27" s="113"/>
      <c r="G27" s="113"/>
      <c r="H27" s="113"/>
      <c r="I27" s="113"/>
      <c r="J27" s="113"/>
      <c r="K27" s="113"/>
      <c r="L27" s="113"/>
      <c r="M27" s="113"/>
      <c r="N27" s="113"/>
      <c r="O27" s="113"/>
      <c r="P27" s="113"/>
      <c r="Q27" s="113"/>
      <c r="R27" s="113"/>
    </row>
    <row r="28" spans="1:20" x14ac:dyDescent="0.2">
      <c r="A28" s="113"/>
      <c r="B28" s="113"/>
      <c r="C28" s="113"/>
      <c r="D28" s="113"/>
      <c r="E28" s="113"/>
      <c r="F28" s="113"/>
      <c r="G28" s="113"/>
      <c r="H28" s="113"/>
      <c r="I28" s="113"/>
      <c r="J28" s="113"/>
      <c r="K28" s="113"/>
      <c r="L28" s="113"/>
      <c r="M28" s="113"/>
      <c r="N28" s="113"/>
      <c r="O28" s="113"/>
      <c r="P28" s="113"/>
      <c r="Q28" s="113"/>
      <c r="R28" s="113"/>
    </row>
  </sheetData>
  <sheetProtection password="8BE7" sheet="1" objects="1" scenarios="1"/>
  <dataConsolidate/>
  <mergeCells count="14">
    <mergeCell ref="T2:W2"/>
    <mergeCell ref="A3:Q3"/>
    <mergeCell ref="A16:P16"/>
    <mergeCell ref="A6:Q6"/>
    <mergeCell ref="F18:H18"/>
    <mergeCell ref="I11:J11"/>
    <mergeCell ref="I18:J18"/>
    <mergeCell ref="A1:Q1"/>
    <mergeCell ref="E13:N13"/>
    <mergeCell ref="A2:Q2"/>
    <mergeCell ref="A4:Q4"/>
    <mergeCell ref="A9:P9"/>
    <mergeCell ref="F11:H11"/>
    <mergeCell ref="A13:B13"/>
  </mergeCells>
  <phoneticPr fontId="3" type="noConversion"/>
  <conditionalFormatting sqref="T8">
    <cfRule type="expression" dxfId="49" priority="17" stopIfTrue="1">
      <formula>#REF!=0</formula>
    </cfRule>
  </conditionalFormatting>
  <conditionalFormatting sqref="E13:N13">
    <cfRule type="expression" dxfId="48" priority="1">
      <formula>$P$13=0</formula>
    </cfRule>
  </conditionalFormatting>
  <hyperlinks>
    <hyperlink ref="T2:W2" location="'Protected Areas'!A1" display="back to Protected Areas"/>
  </hyperlinks>
  <printOptions horizontalCentered="1"/>
  <pageMargins left="0.5" right="0.5" top="0.5" bottom="0.5" header="0.5" footer="0.5"/>
  <pageSetup paperSize="9" scale="96" orientation="landscape" horizontalDpi="300" verticalDpi="300" r:id="rId1"/>
  <headerFooter alignWithMargins="0">
    <oddHeader>&amp;L&amp;G</oddHeader>
    <oddFooter>&amp;L&amp;"+,Regular"&amp;8Tel  : +98 ( 21 ) 4420 1601
&amp;K00+000Tel  : &amp;K000000+98 ( 21 ) 4420 1768
Fax : +98 ( 21 ) 4420 1934&amp;C&amp;"+,Regular"&amp;8-  7  -&amp;R&amp;"+,Regular"&amp;8Design by Ali Cheraghi 
( BSEE )</oddFooter>
  </headerFooter>
  <legacyDrawingHF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D24"/>
  <sheetViews>
    <sheetView showGridLines="0" view="pageBreakPreview" zoomScaleSheetLayoutView="100" workbookViewId="0">
      <pane ySplit="5" topLeftCell="A9" activePane="bottomLeft" state="frozen"/>
      <selection pane="bottomLeft" activeCell="X3" sqref="X3:AA3"/>
    </sheetView>
  </sheetViews>
  <sheetFormatPr defaultColWidth="8.85546875" defaultRowHeight="12.75" x14ac:dyDescent="0.2"/>
  <cols>
    <col min="1" max="2" width="4.7109375" style="27" customWidth="1"/>
    <col min="3" max="4" width="5.42578125" style="27" customWidth="1"/>
    <col min="5" max="5" width="10.5703125" style="27" customWidth="1"/>
    <col min="6" max="6" width="3.5703125" style="27" customWidth="1"/>
    <col min="7" max="7" width="10.7109375" style="27" customWidth="1"/>
    <col min="8" max="10" width="5.5703125" style="27" customWidth="1"/>
    <col min="11" max="12" width="4.5703125" style="27" customWidth="1"/>
    <col min="13" max="13" width="9.5703125" style="27" customWidth="1"/>
    <col min="14" max="14" width="10.7109375" style="27" customWidth="1"/>
    <col min="15" max="18" width="5.5703125" style="27" customWidth="1"/>
    <col min="19" max="21" width="3.5703125" style="27" customWidth="1"/>
    <col min="22" max="22" width="8.7109375" style="27" customWidth="1"/>
    <col min="23" max="23" width="5.5703125" style="27" customWidth="1"/>
    <col min="24" max="16384" width="8.85546875" style="27"/>
  </cols>
  <sheetData>
    <row r="1" spans="1:30" s="1" customFormat="1" ht="30" customHeight="1" x14ac:dyDescent="0.2">
      <c r="A1" s="270" t="s">
        <v>153</v>
      </c>
      <c r="B1" s="270"/>
      <c r="C1" s="270"/>
      <c r="D1" s="270"/>
      <c r="E1" s="270"/>
      <c r="F1" s="270"/>
      <c r="G1" s="270"/>
      <c r="H1" s="270"/>
      <c r="I1" s="270"/>
      <c r="J1" s="270"/>
      <c r="K1" s="270"/>
      <c r="L1" s="270"/>
      <c r="M1" s="270"/>
      <c r="N1" s="270"/>
      <c r="O1" s="270"/>
      <c r="P1" s="270"/>
      <c r="Q1" s="270"/>
      <c r="R1" s="270"/>
      <c r="S1" s="270"/>
      <c r="T1" s="270"/>
      <c r="U1" s="270"/>
      <c r="V1" s="270"/>
    </row>
    <row r="2" spans="1:30" s="1" customFormat="1" ht="20.100000000000001" customHeight="1" x14ac:dyDescent="0.2">
      <c r="A2" s="340" t="s">
        <v>88</v>
      </c>
      <c r="B2" s="340"/>
      <c r="C2" s="340"/>
      <c r="D2" s="340"/>
      <c r="E2" s="340"/>
      <c r="F2" s="340"/>
      <c r="G2" s="340"/>
      <c r="H2" s="340"/>
      <c r="I2" s="340"/>
      <c r="J2" s="340"/>
      <c r="K2" s="340"/>
      <c r="L2" s="340"/>
      <c r="M2" s="340"/>
      <c r="N2" s="340"/>
      <c r="O2" s="340"/>
      <c r="P2" s="340"/>
      <c r="Q2" s="340"/>
      <c r="R2" s="340"/>
      <c r="S2" s="340"/>
      <c r="T2" s="340"/>
      <c r="U2" s="340"/>
      <c r="V2" s="340"/>
      <c r="X2" s="409" t="s">
        <v>151</v>
      </c>
      <c r="Y2" s="409"/>
      <c r="Z2" s="409"/>
      <c r="AA2" s="409"/>
    </row>
    <row r="3" spans="1:30" s="1" customFormat="1" ht="39.950000000000003" customHeight="1" x14ac:dyDescent="0.2">
      <c r="A3" s="374" t="s">
        <v>172</v>
      </c>
      <c r="B3" s="374"/>
      <c r="C3" s="374"/>
      <c r="D3" s="374"/>
      <c r="E3" s="374"/>
      <c r="F3" s="374"/>
      <c r="G3" s="374"/>
      <c r="H3" s="374"/>
      <c r="I3" s="374"/>
      <c r="J3" s="374"/>
      <c r="K3" s="374"/>
      <c r="L3" s="374"/>
      <c r="M3" s="374"/>
      <c r="N3" s="374"/>
      <c r="O3" s="374"/>
      <c r="P3" s="374"/>
      <c r="Q3" s="374"/>
      <c r="R3" s="374"/>
      <c r="S3" s="374"/>
      <c r="T3" s="374"/>
      <c r="U3" s="374"/>
      <c r="V3" s="374"/>
      <c r="X3" s="338" t="s">
        <v>174</v>
      </c>
      <c r="Y3" s="338"/>
      <c r="Z3" s="338"/>
      <c r="AA3" s="338"/>
    </row>
    <row r="4" spans="1:30" s="70" customFormat="1" ht="24.95" customHeight="1" x14ac:dyDescent="0.25">
      <c r="A4" s="428" t="str">
        <f>Project.Name</f>
        <v>Insert Project Name Sample</v>
      </c>
      <c r="B4" s="428"/>
      <c r="C4" s="428"/>
      <c r="D4" s="428"/>
      <c r="E4" s="428"/>
      <c r="F4" s="428"/>
      <c r="G4" s="428"/>
      <c r="H4" s="428"/>
      <c r="I4" s="428"/>
      <c r="J4" s="428"/>
      <c r="K4" s="428"/>
      <c r="L4" s="428"/>
      <c r="M4" s="428"/>
      <c r="N4" s="428"/>
      <c r="O4" s="428"/>
      <c r="P4" s="428"/>
      <c r="Q4" s="428"/>
      <c r="R4" s="428"/>
      <c r="S4" s="428"/>
      <c r="T4" s="428"/>
      <c r="U4" s="428"/>
      <c r="V4" s="428"/>
    </row>
    <row r="5" spans="1:30" ht="15" customHeight="1" x14ac:dyDescent="0.2">
      <c r="A5" s="136"/>
      <c r="B5" s="136"/>
      <c r="C5" s="136"/>
      <c r="D5" s="136"/>
      <c r="E5" s="136"/>
      <c r="F5" s="136"/>
      <c r="G5" s="136"/>
      <c r="H5" s="136"/>
      <c r="I5" s="136"/>
      <c r="J5" s="136"/>
      <c r="K5" s="136"/>
      <c r="L5" s="136"/>
      <c r="M5" s="136"/>
      <c r="N5" s="136"/>
      <c r="O5" s="136"/>
      <c r="P5" s="136"/>
      <c r="Q5" s="136"/>
      <c r="R5" s="136"/>
      <c r="S5" s="136"/>
      <c r="T5" s="136"/>
      <c r="U5" s="136"/>
      <c r="V5" s="136"/>
      <c r="W5" s="113"/>
      <c r="X5" s="113"/>
      <c r="Y5" s="113"/>
      <c r="Z5" s="113"/>
      <c r="AA5" s="113"/>
      <c r="AB5" s="113"/>
      <c r="AC5" s="113"/>
      <c r="AD5" s="113"/>
    </row>
    <row r="6" spans="1:30" ht="30" customHeight="1" x14ac:dyDescent="0.2">
      <c r="A6" s="440" t="s">
        <v>201</v>
      </c>
      <c r="B6" s="440"/>
      <c r="C6" s="440"/>
      <c r="D6" s="440"/>
      <c r="E6" s="440"/>
      <c r="F6" s="440"/>
      <c r="G6" s="440"/>
      <c r="H6" s="440"/>
      <c r="I6" s="440"/>
      <c r="J6" s="440"/>
      <c r="K6" s="440"/>
      <c r="L6" s="440"/>
      <c r="M6" s="440"/>
      <c r="N6" s="440"/>
      <c r="O6" s="440"/>
      <c r="P6" s="440"/>
      <c r="Q6" s="440"/>
      <c r="R6" s="440"/>
      <c r="S6" s="440"/>
      <c r="T6" s="440"/>
      <c r="U6" s="440"/>
      <c r="V6" s="440"/>
      <c r="W6" s="127"/>
      <c r="X6" s="127"/>
      <c r="Y6" s="127"/>
      <c r="Z6" s="127"/>
      <c r="AA6" s="127"/>
      <c r="AB6" s="127"/>
      <c r="AC6" s="127"/>
      <c r="AD6" s="127"/>
    </row>
    <row r="7" spans="1:30" ht="15" customHeight="1" x14ac:dyDescent="0.2">
      <c r="Z7" s="127"/>
    </row>
    <row r="8" spans="1:30" ht="30" customHeight="1" x14ac:dyDescent="0.2">
      <c r="A8" s="440" t="s">
        <v>176</v>
      </c>
      <c r="B8" s="440"/>
      <c r="C8" s="440"/>
      <c r="D8" s="440"/>
      <c r="E8" s="440"/>
      <c r="F8" s="440"/>
      <c r="G8" s="440"/>
      <c r="H8" s="440"/>
      <c r="I8" s="440"/>
      <c r="J8" s="440"/>
      <c r="K8" s="440"/>
      <c r="L8" s="440"/>
      <c r="M8" s="440"/>
      <c r="N8" s="440"/>
      <c r="O8" s="440"/>
      <c r="P8" s="440"/>
      <c r="Q8" s="440"/>
      <c r="R8" s="440"/>
      <c r="S8" s="440"/>
      <c r="T8" s="440"/>
      <c r="U8" s="440"/>
      <c r="V8" s="440"/>
      <c r="W8" s="113"/>
      <c r="X8" s="113"/>
      <c r="Y8" s="113"/>
      <c r="Z8" s="127"/>
      <c r="AA8" s="113"/>
      <c r="AB8" s="113"/>
      <c r="AC8" s="113"/>
      <c r="AD8" s="113"/>
    </row>
    <row r="9" spans="1:30" ht="15" customHeight="1" x14ac:dyDescent="0.2">
      <c r="A9" s="136"/>
      <c r="B9" s="136"/>
      <c r="C9" s="136"/>
      <c r="D9" s="136"/>
      <c r="E9" s="136"/>
      <c r="F9" s="136"/>
      <c r="G9" s="136"/>
      <c r="H9" s="136"/>
      <c r="I9" s="136"/>
      <c r="J9" s="136"/>
      <c r="K9" s="136"/>
      <c r="L9" s="136"/>
      <c r="M9" s="136"/>
      <c r="N9" s="136"/>
      <c r="O9" s="136"/>
      <c r="P9" s="136"/>
      <c r="Q9" s="136"/>
      <c r="R9" s="136"/>
      <c r="S9" s="136"/>
      <c r="T9" s="136"/>
      <c r="U9" s="136"/>
      <c r="V9" s="136"/>
      <c r="W9" s="127"/>
      <c r="X9" s="127"/>
      <c r="Y9" s="127"/>
      <c r="Z9" s="127"/>
      <c r="AA9" s="127"/>
      <c r="AB9" s="127"/>
      <c r="AC9" s="127"/>
      <c r="AD9" s="127"/>
    </row>
    <row r="10" spans="1:30" ht="24.95" customHeight="1" x14ac:dyDescent="0.2">
      <c r="A10" s="239"/>
      <c r="B10" s="239"/>
      <c r="C10" s="442" t="str">
        <f>IF('Protected Areas'!G48=0,"NO Additional Quantity of CO2 Required for Compensation",IF(AND('Protected Areas'!G48=1,S13&gt;S14),"Additional Quantity of CO2 Require for compensated Opening Loss","WARNING !!!
 Leakage Compensation is more than Basic Quantity, System shall be designed on 'Local Application' Method"))</f>
        <v>NO Additional Quantity of CO2 Required for Compensation</v>
      </c>
      <c r="D10" s="442"/>
      <c r="E10" s="442"/>
      <c r="F10" s="442"/>
      <c r="G10" s="442"/>
      <c r="H10" s="442"/>
      <c r="I10" s="442"/>
      <c r="J10" s="442"/>
      <c r="K10" s="442"/>
      <c r="L10" s="442"/>
      <c r="M10" s="442"/>
      <c r="N10" s="442"/>
      <c r="O10" s="442"/>
      <c r="P10" s="442"/>
      <c r="Q10" s="442"/>
      <c r="R10" s="442"/>
      <c r="S10" s="442"/>
      <c r="T10" s="442"/>
      <c r="U10" s="442"/>
      <c r="V10" s="117"/>
      <c r="W10" s="113"/>
    </row>
    <row r="11" spans="1:30" ht="15" customHeight="1" x14ac:dyDescent="0.2">
      <c r="A11" s="113"/>
      <c r="B11" s="113"/>
      <c r="C11" s="113"/>
      <c r="D11" s="121"/>
      <c r="E11" s="113"/>
      <c r="F11" s="113"/>
      <c r="G11" s="116"/>
      <c r="H11" s="116"/>
      <c r="I11" s="116"/>
      <c r="J11" s="116"/>
      <c r="K11" s="116"/>
      <c r="L11" s="116"/>
      <c r="M11" s="116"/>
      <c r="N11" s="116"/>
      <c r="O11" s="116"/>
      <c r="P11" s="116"/>
      <c r="Q11" s="116"/>
      <c r="R11" s="121"/>
      <c r="S11" s="29"/>
      <c r="T11" s="29"/>
      <c r="U11" s="29"/>
      <c r="V11" s="117"/>
      <c r="W11" s="113"/>
    </row>
    <row r="12" spans="1:30" ht="15" customHeight="1" x14ac:dyDescent="0.2">
      <c r="A12" s="113"/>
      <c r="B12" s="113"/>
      <c r="C12" s="113"/>
      <c r="D12" s="121"/>
      <c r="E12" s="113"/>
      <c r="F12" s="113"/>
      <c r="G12" s="116"/>
      <c r="H12" s="116"/>
      <c r="I12" s="116"/>
      <c r="J12" s="116"/>
      <c r="K12" s="116"/>
      <c r="L12" s="116"/>
      <c r="M12" s="116"/>
      <c r="N12" s="116"/>
      <c r="O12" s="116"/>
      <c r="P12" s="116"/>
      <c r="Q12" s="116"/>
      <c r="R12" s="121"/>
      <c r="S12" s="240">
        <f>IF(Leakage_Compensation&gt;S13,0,1)</f>
        <v>1</v>
      </c>
      <c r="T12" s="29"/>
      <c r="U12" s="29"/>
      <c r="V12" s="117"/>
      <c r="W12" s="113"/>
    </row>
    <row r="13" spans="1:30" ht="30.2" customHeight="1" x14ac:dyDescent="0.2">
      <c r="A13" s="436" t="s">
        <v>178</v>
      </c>
      <c r="B13" s="436"/>
      <c r="C13" s="436"/>
      <c r="D13" s="436"/>
      <c r="E13" s="93">
        <v>0</v>
      </c>
      <c r="F13" s="127" t="s">
        <v>26</v>
      </c>
      <c r="G13" s="113"/>
      <c r="H13" s="437" t="s">
        <v>52</v>
      </c>
      <c r="I13" s="437"/>
      <c r="J13" s="437"/>
      <c r="K13" s="438">
        <f>IF('Protected Areas'!G48=0,0,IF('Protected Areas'!G48=1,L.R,0))</f>
        <v>0</v>
      </c>
      <c r="L13" s="438"/>
      <c r="M13" s="43" t="s">
        <v>184</v>
      </c>
      <c r="N13" s="115"/>
      <c r="O13" s="434" t="s">
        <v>203</v>
      </c>
      <c r="P13" s="434"/>
      <c r="Q13" s="434"/>
      <c r="R13" s="434"/>
      <c r="S13" s="439">
        <f>Total_Agent_Basic</f>
        <v>2793</v>
      </c>
      <c r="T13" s="439"/>
      <c r="U13" s="439"/>
      <c r="V13" s="102" t="s">
        <v>4</v>
      </c>
      <c r="W13" s="113"/>
    </row>
    <row r="14" spans="1:30" ht="20.100000000000001" customHeight="1" x14ac:dyDescent="0.2">
      <c r="A14" s="434" t="s">
        <v>181</v>
      </c>
      <c r="B14" s="434"/>
      <c r="C14" s="434"/>
      <c r="D14" s="434"/>
      <c r="E14" s="93">
        <v>0</v>
      </c>
      <c r="F14" s="116" t="s">
        <v>202</v>
      </c>
      <c r="G14" s="113"/>
      <c r="H14" s="113"/>
      <c r="I14" s="113"/>
      <c r="J14" s="24" t="e">
        <f>IF(S13&gt;#REF!,0,1)</f>
        <v>#REF!</v>
      </c>
      <c r="K14" s="24"/>
      <c r="L14" s="30">
        <f>IF(S13=0,0,1)</f>
        <v>1</v>
      </c>
      <c r="M14" s="113"/>
      <c r="N14" s="113"/>
      <c r="O14" s="434" t="s">
        <v>177</v>
      </c>
      <c r="P14" s="434"/>
      <c r="Q14" s="434"/>
      <c r="R14" s="434"/>
      <c r="S14" s="435">
        <f>E14*K13*1</f>
        <v>0</v>
      </c>
      <c r="T14" s="435"/>
      <c r="U14" s="435"/>
      <c r="V14" s="102" t="s">
        <v>4</v>
      </c>
      <c r="W14" s="113"/>
    </row>
    <row r="15" spans="1:30" ht="15" customHeight="1" x14ac:dyDescent="0.2">
      <c r="A15" s="113"/>
      <c r="B15" s="113"/>
      <c r="C15" s="113"/>
      <c r="D15" s="113"/>
      <c r="E15" s="26"/>
      <c r="F15" s="113"/>
      <c r="G15" s="113"/>
      <c r="H15" s="113"/>
      <c r="I15" s="113"/>
      <c r="J15" s="113"/>
      <c r="K15" s="113"/>
      <c r="L15" s="26"/>
      <c r="M15" s="113"/>
      <c r="N15" s="113"/>
      <c r="O15" s="113"/>
      <c r="P15" s="113"/>
      <c r="Q15" s="113"/>
      <c r="R15" s="113"/>
      <c r="S15" s="113"/>
      <c r="T15" s="113"/>
      <c r="U15" s="113"/>
      <c r="V15" s="113"/>
      <c r="W15" s="113"/>
    </row>
    <row r="16" spans="1:30" ht="200.1" customHeight="1" x14ac:dyDescent="0.2">
      <c r="A16" s="113"/>
      <c r="B16" s="113"/>
      <c r="C16" s="113"/>
      <c r="D16" s="113"/>
      <c r="E16" s="26"/>
      <c r="F16" s="113"/>
      <c r="G16" s="113"/>
      <c r="H16" s="113"/>
      <c r="I16" s="113"/>
      <c r="J16" s="113"/>
      <c r="K16" s="113"/>
      <c r="L16" s="26"/>
      <c r="M16" s="113"/>
      <c r="N16" s="113"/>
      <c r="O16" s="113"/>
      <c r="P16" s="113"/>
      <c r="Q16" s="113"/>
      <c r="R16" s="113"/>
      <c r="S16" s="113"/>
      <c r="T16" s="113"/>
      <c r="U16" s="113"/>
      <c r="V16" s="113"/>
      <c r="W16" s="113"/>
    </row>
    <row r="17" spans="1:23" ht="15" customHeight="1" x14ac:dyDescent="0.2">
      <c r="A17" s="113"/>
      <c r="B17" s="113"/>
      <c r="C17" s="113"/>
      <c r="D17" s="113"/>
      <c r="E17" s="113"/>
      <c r="F17" s="115"/>
      <c r="G17" s="115"/>
      <c r="H17" s="115"/>
      <c r="I17" s="115"/>
      <c r="J17" s="115"/>
      <c r="K17" s="115"/>
      <c r="L17" s="41"/>
      <c r="M17" s="41"/>
      <c r="N17" s="25"/>
      <c r="O17" s="115"/>
      <c r="P17" s="115"/>
      <c r="Q17" s="115"/>
      <c r="R17" s="115"/>
      <c r="S17" s="20"/>
      <c r="T17" s="20"/>
      <c r="U17" s="20"/>
      <c r="V17" s="117"/>
      <c r="W17" s="113"/>
    </row>
    <row r="18" spans="1:23" ht="15" customHeight="1" x14ac:dyDescent="0.2">
      <c r="A18" s="441" t="s">
        <v>96</v>
      </c>
      <c r="B18" s="441"/>
      <c r="C18" s="441"/>
      <c r="D18" s="441"/>
      <c r="E18" s="441"/>
      <c r="F18" s="441"/>
      <c r="G18" s="441"/>
      <c r="H18" s="441"/>
      <c r="I18" s="441"/>
      <c r="J18" s="441"/>
      <c r="K18" s="441"/>
      <c r="L18" s="441"/>
      <c r="M18" s="441"/>
      <c r="N18" s="441"/>
      <c r="O18" s="441"/>
      <c r="P18" s="441"/>
      <c r="Q18" s="441"/>
      <c r="R18" s="441"/>
      <c r="S18" s="441"/>
      <c r="T18" s="441"/>
      <c r="U18" s="441"/>
      <c r="V18" s="441"/>
      <c r="W18" s="113"/>
    </row>
    <row r="19" spans="1:23" ht="20.100000000000001" customHeight="1" x14ac:dyDescent="0.2">
      <c r="A19" s="433" t="s">
        <v>95</v>
      </c>
      <c r="B19" s="433"/>
      <c r="C19" s="433"/>
      <c r="D19" s="433"/>
      <c r="E19" s="433"/>
      <c r="F19" s="433"/>
      <c r="G19" s="433"/>
      <c r="H19" s="433"/>
      <c r="I19" s="433"/>
      <c r="J19" s="433"/>
      <c r="K19" s="433"/>
      <c r="L19" s="433"/>
      <c r="M19" s="433"/>
      <c r="N19" s="433"/>
      <c r="O19" s="433"/>
      <c r="P19" s="433"/>
      <c r="Q19" s="433"/>
      <c r="R19" s="433"/>
      <c r="S19" s="433"/>
      <c r="T19" s="433"/>
      <c r="U19" s="433"/>
      <c r="V19" s="433"/>
      <c r="W19" s="113"/>
    </row>
    <row r="20" spans="1:23" ht="9.9499999999999993" customHeight="1" x14ac:dyDescent="0.2">
      <c r="A20" s="113"/>
      <c r="B20" s="113"/>
      <c r="C20" s="113"/>
      <c r="D20" s="113"/>
      <c r="E20" s="113"/>
      <c r="F20" s="113"/>
      <c r="G20" s="113"/>
      <c r="H20" s="113"/>
      <c r="I20" s="113"/>
      <c r="J20" s="113"/>
      <c r="K20" s="113"/>
      <c r="L20" s="113"/>
      <c r="M20" s="113"/>
      <c r="N20" s="113"/>
      <c r="O20" s="113"/>
      <c r="P20" s="113"/>
      <c r="Q20" s="113"/>
      <c r="R20" s="113"/>
      <c r="S20" s="113"/>
      <c r="T20" s="113"/>
      <c r="U20" s="113"/>
      <c r="V20" s="113"/>
      <c r="W20" s="113"/>
    </row>
    <row r="21" spans="1:23" x14ac:dyDescent="0.2">
      <c r="A21" s="113"/>
      <c r="B21" s="113"/>
      <c r="C21" s="113"/>
      <c r="D21" s="113"/>
      <c r="E21" s="113"/>
      <c r="F21" s="113"/>
      <c r="G21" s="113"/>
      <c r="H21" s="113"/>
      <c r="I21" s="113"/>
      <c r="J21" s="113"/>
      <c r="K21" s="113"/>
      <c r="L21" s="113"/>
      <c r="M21" s="113"/>
      <c r="N21" s="113"/>
      <c r="O21" s="113"/>
      <c r="P21" s="113"/>
      <c r="Q21" s="113"/>
      <c r="R21" s="113"/>
      <c r="S21" s="113"/>
      <c r="T21" s="113"/>
      <c r="U21" s="113"/>
      <c r="V21" s="113"/>
      <c r="W21" s="113"/>
    </row>
    <row r="22" spans="1:23" x14ac:dyDescent="0.2">
      <c r="A22" s="113"/>
      <c r="B22" s="113"/>
      <c r="C22" s="113"/>
      <c r="D22" s="113"/>
      <c r="E22" s="113"/>
      <c r="F22" s="113"/>
      <c r="G22" s="113"/>
      <c r="H22" s="113"/>
      <c r="I22" s="113"/>
      <c r="J22" s="113"/>
      <c r="K22" s="113"/>
      <c r="L22" s="113"/>
      <c r="M22" s="113"/>
      <c r="N22" s="113"/>
      <c r="O22" s="113"/>
      <c r="P22" s="113"/>
      <c r="Q22" s="113"/>
      <c r="R22" s="113"/>
      <c r="S22" s="113"/>
      <c r="T22" s="113"/>
      <c r="U22" s="113"/>
      <c r="V22" s="113"/>
      <c r="W22" s="113"/>
    </row>
    <row r="23" spans="1:23" x14ac:dyDescent="0.2">
      <c r="A23" s="113"/>
      <c r="B23" s="113"/>
      <c r="C23" s="113"/>
      <c r="D23" s="113"/>
      <c r="E23" s="113"/>
      <c r="F23" s="113"/>
      <c r="G23" s="113"/>
      <c r="H23" s="113"/>
      <c r="I23" s="113"/>
      <c r="J23" s="113"/>
      <c r="K23" s="113"/>
      <c r="L23" s="113"/>
      <c r="M23" s="113"/>
      <c r="N23" s="113"/>
      <c r="O23" s="113"/>
      <c r="P23" s="113"/>
      <c r="Q23" s="113"/>
      <c r="R23" s="113"/>
      <c r="S23" s="113"/>
      <c r="T23" s="113"/>
      <c r="U23" s="113"/>
      <c r="V23" s="113"/>
      <c r="W23" s="113"/>
    </row>
    <row r="24" spans="1:23" x14ac:dyDescent="0.2">
      <c r="A24" s="113"/>
      <c r="B24" s="113"/>
      <c r="C24" s="113"/>
      <c r="D24" s="113"/>
      <c r="E24" s="113"/>
      <c r="F24" s="113"/>
      <c r="G24" s="113"/>
      <c r="H24" s="113"/>
      <c r="I24" s="113"/>
      <c r="J24" s="113"/>
      <c r="K24" s="113"/>
      <c r="L24" s="113"/>
      <c r="M24" s="113"/>
      <c r="N24" s="113"/>
      <c r="O24" s="113"/>
      <c r="P24" s="113"/>
      <c r="Q24" s="113"/>
      <c r="R24" s="113"/>
      <c r="S24" s="113"/>
      <c r="T24" s="113"/>
      <c r="U24" s="113"/>
      <c r="V24" s="113"/>
      <c r="W24" s="113"/>
    </row>
  </sheetData>
  <sheetProtection password="8BE7" sheet="1" objects="1" scenarios="1"/>
  <dataConsolidate/>
  <mergeCells count="19">
    <mergeCell ref="X2:AA2"/>
    <mergeCell ref="X3:AA3"/>
    <mergeCell ref="A3:V3"/>
    <mergeCell ref="A4:V4"/>
    <mergeCell ref="A18:V18"/>
    <mergeCell ref="C10:U10"/>
    <mergeCell ref="A19:V19"/>
    <mergeCell ref="A1:V1"/>
    <mergeCell ref="A2:V2"/>
    <mergeCell ref="A14:D14"/>
    <mergeCell ref="O14:R14"/>
    <mergeCell ref="S14:U14"/>
    <mergeCell ref="A13:D13"/>
    <mergeCell ref="H13:J13"/>
    <mergeCell ref="K13:L13"/>
    <mergeCell ref="O13:R13"/>
    <mergeCell ref="S13:U13"/>
    <mergeCell ref="A8:V8"/>
    <mergeCell ref="A6:V6"/>
  </mergeCells>
  <conditionalFormatting sqref="C10:U10">
    <cfRule type="expression" dxfId="47" priority="2">
      <formula>$S$14&gt;$S$13</formula>
    </cfRule>
  </conditionalFormatting>
  <hyperlinks>
    <hyperlink ref="H13" location="'Opening Loss'!A1" display="Leakage Rate"/>
    <hyperlink ref="H13:J13" location="'Leakage Rate'!A1" display="Leakage Rate"/>
    <hyperlink ref="X2:AA2" location="'Protected Areas'!A1" display="back to Protected Areas"/>
    <hyperlink ref="X3:AA3" location="'Leakage Rate'!A1" display="go to Laeakage Rate "/>
  </hyperlinks>
  <printOptions horizontalCentered="1"/>
  <pageMargins left="0.5" right="0.5" top="0.5" bottom="0.5" header="0.5" footer="0.5"/>
  <pageSetup paperSize="9" scale="89" orientation="landscape" horizontalDpi="300" verticalDpi="300" r:id="rId1"/>
  <headerFooter alignWithMargins="0">
    <oddHeader>&amp;L&amp;G</oddHeader>
    <oddFooter>&amp;L&amp;"+,Regular"&amp;8Tel  : +98 ( 21 ) 4420 1601
&amp;K00+000Tel  : &amp;K000000+98 ( 21 ) 4420 1768
Fax : +98 ( 21 ) 4420 1934&amp;C&amp;"+,Regular"&amp;8-  8  -&amp;R&amp;"+,Regular"&amp;8Design by Ali Cheraghi
( BSEE )</odd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 id="{B199C93D-A689-42FA-BE53-90342004A462}">
            <xm:f>'Protected Areas'!$G$48=0</xm:f>
            <x14:dxf>
              <font>
                <color auto="1"/>
              </font>
              <fill>
                <patternFill>
                  <bgColor rgb="FFFF0000"/>
                </patternFill>
              </fill>
              <border>
                <left style="dotted">
                  <color auto="1"/>
                </left>
                <right style="dotted">
                  <color auto="1"/>
                </right>
                <top style="dotted">
                  <color auto="1"/>
                </top>
                <bottom style="dotted">
                  <color auto="1"/>
                </bottom>
                <vertical/>
                <horizontal/>
              </border>
            </x14:dxf>
          </x14:cfRule>
          <x14:cfRule type="expression" priority="3" id="{E9D894C5-CA2E-45BB-8B72-FBE07D3A92A9}">
            <xm:f>AND('Protected Areas'!$G$48=1,$S$14&lt;=$S$13)</xm:f>
            <x14:dxf>
              <font>
                <color rgb="FF7030A0"/>
              </font>
              <fill>
                <patternFill>
                  <bgColor theme="6" tint="0.79998168889431442"/>
                </patternFill>
              </fill>
              <border>
                <left style="dotted">
                  <color auto="1"/>
                </left>
                <right style="dotted">
                  <color auto="1"/>
                </right>
                <top style="dotted">
                  <color auto="1"/>
                </top>
                <bottom style="dotted">
                  <color auto="1"/>
                </bottom>
                <vertical/>
                <horizontal/>
              </border>
            </x14:dxf>
          </x14:cfRule>
          <xm:sqref>C10:U10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theme="9" tint="-0.249977111117893"/>
    <pageSetUpPr fitToPage="1"/>
  </sheetPr>
  <dimension ref="A1:X39"/>
  <sheetViews>
    <sheetView showGridLines="0" view="pageBreakPreview" zoomScaleSheetLayoutView="100" workbookViewId="0">
      <pane ySplit="5" topLeftCell="A6" activePane="bottomLeft" state="frozen"/>
      <selection pane="bottomLeft" activeCell="R2" sqref="R2:U2"/>
    </sheetView>
  </sheetViews>
  <sheetFormatPr defaultColWidth="9.140625" defaultRowHeight="12.75" x14ac:dyDescent="0.2"/>
  <cols>
    <col min="1" max="9" width="9.140625" style="1"/>
    <col min="10" max="10" width="14.42578125" style="1" customWidth="1"/>
    <col min="11" max="13" width="7.5703125" style="1" customWidth="1"/>
    <col min="14" max="14" width="9.140625" style="1"/>
    <col min="15" max="15" width="7.42578125" style="1" bestFit="1" customWidth="1"/>
    <col min="16" max="16" width="9.85546875" style="1" bestFit="1" customWidth="1"/>
    <col min="17" max="16384" width="9.140625" style="1"/>
  </cols>
  <sheetData>
    <row r="1" spans="1:24" ht="30" customHeight="1" x14ac:dyDescent="0.2">
      <c r="A1" s="270" t="s">
        <v>153</v>
      </c>
      <c r="B1" s="270"/>
      <c r="C1" s="270"/>
      <c r="D1" s="270"/>
      <c r="E1" s="270"/>
      <c r="F1" s="270"/>
      <c r="G1" s="270"/>
      <c r="H1" s="270"/>
      <c r="I1" s="270"/>
      <c r="J1" s="270"/>
      <c r="K1" s="270"/>
      <c r="L1" s="270"/>
      <c r="M1" s="270"/>
      <c r="N1" s="270"/>
      <c r="O1" s="270"/>
      <c r="P1" s="270"/>
      <c r="Q1" s="74"/>
      <c r="R1" s="74"/>
      <c r="S1" s="74"/>
      <c r="T1" s="74"/>
      <c r="U1" s="74"/>
      <c r="V1" s="74"/>
    </row>
    <row r="2" spans="1:24" ht="20.100000000000001" customHeight="1" x14ac:dyDescent="0.25">
      <c r="A2" s="340" t="s">
        <v>88</v>
      </c>
      <c r="B2" s="340"/>
      <c r="C2" s="340"/>
      <c r="D2" s="340"/>
      <c r="E2" s="340"/>
      <c r="F2" s="340"/>
      <c r="G2" s="340"/>
      <c r="H2" s="340"/>
      <c r="I2" s="340"/>
      <c r="J2" s="340"/>
      <c r="K2" s="340"/>
      <c r="L2" s="340"/>
      <c r="M2" s="340"/>
      <c r="N2" s="340"/>
      <c r="O2" s="340"/>
      <c r="P2" s="340"/>
      <c r="Q2" s="75"/>
      <c r="R2" s="354" t="s">
        <v>151</v>
      </c>
      <c r="S2" s="354"/>
      <c r="T2" s="354"/>
      <c r="U2" s="354"/>
      <c r="V2" s="75"/>
    </row>
    <row r="3" spans="1:24" ht="20.100000000000001" customHeight="1" x14ac:dyDescent="0.25">
      <c r="A3" s="271" t="s">
        <v>154</v>
      </c>
      <c r="B3" s="271"/>
      <c r="C3" s="271"/>
      <c r="D3" s="271"/>
      <c r="E3" s="271"/>
      <c r="F3" s="271"/>
      <c r="G3" s="271"/>
      <c r="H3" s="271"/>
      <c r="I3" s="271"/>
      <c r="J3" s="271"/>
      <c r="K3" s="271"/>
      <c r="L3" s="271"/>
      <c r="M3" s="271"/>
      <c r="N3" s="271"/>
      <c r="O3" s="271"/>
      <c r="P3" s="271"/>
      <c r="Q3" s="77"/>
      <c r="R3" s="354"/>
      <c r="S3" s="354"/>
      <c r="T3" s="354"/>
      <c r="U3" s="354"/>
      <c r="V3" s="77"/>
      <c r="W3" s="354"/>
      <c r="X3" s="354"/>
    </row>
    <row r="4" spans="1:24" ht="39.950000000000003" customHeight="1" x14ac:dyDescent="0.2">
      <c r="A4" s="374" t="s">
        <v>172</v>
      </c>
      <c r="B4" s="374"/>
      <c r="C4" s="374"/>
      <c r="D4" s="374"/>
      <c r="E4" s="374"/>
      <c r="F4" s="374"/>
      <c r="G4" s="374"/>
      <c r="H4" s="374"/>
      <c r="I4" s="374"/>
      <c r="J4" s="374"/>
      <c r="K4" s="374"/>
      <c r="L4" s="374"/>
      <c r="M4" s="374"/>
      <c r="N4" s="374"/>
      <c r="O4" s="374"/>
      <c r="P4" s="374"/>
      <c r="Q4" s="78"/>
      <c r="R4" s="338" t="s">
        <v>173</v>
      </c>
      <c r="S4" s="338"/>
      <c r="T4" s="338"/>
      <c r="U4" s="338"/>
      <c r="V4" s="78"/>
    </row>
    <row r="5" spans="1:24" s="70" customFormat="1" ht="35.1" customHeight="1" x14ac:dyDescent="0.25">
      <c r="A5" s="428" t="str">
        <f>Project.Name</f>
        <v>Insert Project Name Sample</v>
      </c>
      <c r="B5" s="428"/>
      <c r="C5" s="428"/>
      <c r="D5" s="428"/>
      <c r="E5" s="428"/>
      <c r="F5" s="428"/>
      <c r="G5" s="428"/>
      <c r="H5" s="428"/>
      <c r="I5" s="428"/>
      <c r="J5" s="428"/>
      <c r="K5" s="428"/>
      <c r="L5" s="428"/>
      <c r="M5" s="428"/>
      <c r="N5" s="428"/>
      <c r="O5" s="428"/>
      <c r="P5" s="428"/>
      <c r="Q5" s="90"/>
      <c r="R5" s="90"/>
      <c r="S5" s="90"/>
      <c r="T5" s="90"/>
      <c r="U5" s="90"/>
      <c r="V5" s="90"/>
    </row>
    <row r="6" spans="1:24" ht="15" customHeight="1" x14ac:dyDescent="0.2">
      <c r="A6" s="443"/>
      <c r="B6" s="443"/>
      <c r="C6" s="443"/>
      <c r="D6" s="443"/>
      <c r="E6" s="443"/>
      <c r="F6" s="443"/>
      <c r="G6" s="443"/>
      <c r="H6" s="443"/>
      <c r="I6" s="443"/>
      <c r="J6" s="443"/>
      <c r="K6" s="443"/>
      <c r="L6" s="443"/>
      <c r="M6" s="443"/>
      <c r="N6" s="443"/>
      <c r="O6" s="443"/>
      <c r="P6" s="443"/>
    </row>
    <row r="7" spans="1:24" ht="15" customHeight="1" x14ac:dyDescent="0.2">
      <c r="A7" s="2"/>
      <c r="B7" s="2"/>
      <c r="C7" s="2"/>
      <c r="D7" s="2"/>
      <c r="E7" s="2"/>
      <c r="F7" s="2"/>
      <c r="G7" s="2"/>
      <c r="H7" s="2"/>
      <c r="I7" s="2"/>
      <c r="J7" s="2"/>
      <c r="K7" s="454" t="str">
        <f>IF(Fire_Type=1,"Deep Seated Fire",IF(Fire_Type=2,"Surface Fire",0))</f>
        <v>Deep Seated Fire</v>
      </c>
      <c r="L7" s="454"/>
      <c r="M7" s="454"/>
      <c r="N7" s="454"/>
      <c r="O7" s="454"/>
      <c r="P7" s="454"/>
    </row>
    <row r="8" spans="1:24" ht="15" customHeight="1" x14ac:dyDescent="0.2">
      <c r="A8" s="2"/>
      <c r="B8" s="2"/>
      <c r="C8" s="2"/>
      <c r="D8" s="2"/>
      <c r="E8" s="2"/>
      <c r="F8" s="2"/>
      <c r="G8" s="2"/>
      <c r="H8" s="2"/>
      <c r="I8" s="2"/>
      <c r="J8" s="2"/>
      <c r="K8" s="454"/>
      <c r="L8" s="454"/>
      <c r="M8" s="454"/>
      <c r="N8" s="454"/>
      <c r="O8" s="454"/>
      <c r="P8" s="454"/>
    </row>
    <row r="9" spans="1:24" ht="15" customHeight="1" x14ac:dyDescent="0.2">
      <c r="A9" s="2"/>
      <c r="B9" s="2"/>
      <c r="C9" s="2"/>
      <c r="D9" s="2"/>
      <c r="E9" s="2"/>
      <c r="F9" s="2"/>
      <c r="G9" s="2"/>
      <c r="H9" s="2"/>
      <c r="I9" s="2"/>
      <c r="J9" s="2"/>
      <c r="K9" s="2"/>
      <c r="L9" s="2"/>
      <c r="M9" s="2"/>
      <c r="N9" s="2"/>
      <c r="O9" s="2"/>
    </row>
    <row r="10" spans="1:24" ht="15" customHeight="1" x14ac:dyDescent="0.2">
      <c r="K10" s="455" t="s">
        <v>80</v>
      </c>
      <c r="L10" s="455"/>
      <c r="M10" s="455"/>
      <c r="N10" s="92">
        <f>IF(Fire_Type=1,D.S._D.C.,IF(Fire_Type=2,S.F._D.C,0))</f>
        <v>50</v>
      </c>
      <c r="O10" s="91" t="s">
        <v>29</v>
      </c>
    </row>
    <row r="11" spans="1:24" ht="15" customHeight="1" x14ac:dyDescent="0.2"/>
    <row r="12" spans="1:24" ht="15" customHeight="1" x14ac:dyDescent="0.2">
      <c r="K12" s="94"/>
      <c r="L12" s="94"/>
      <c r="M12" s="94"/>
      <c r="N12" s="95" t="s">
        <v>26</v>
      </c>
      <c r="O12" s="94"/>
      <c r="P12" s="95" t="s">
        <v>60</v>
      </c>
    </row>
    <row r="13" spans="1:24" ht="15" customHeight="1" x14ac:dyDescent="0.2">
      <c r="K13" s="450" t="s">
        <v>178</v>
      </c>
      <c r="L13" s="450"/>
      <c r="M13" s="450"/>
      <c r="N13" s="448">
        <f>'Leakage Compensation'!E13</f>
        <v>0</v>
      </c>
      <c r="O13" s="446" t="s">
        <v>61</v>
      </c>
      <c r="P13" s="448">
        <f>N13/0.305</f>
        <v>0</v>
      </c>
      <c r="Q13" s="444"/>
    </row>
    <row r="14" spans="1:24" ht="15" customHeight="1" x14ac:dyDescent="0.2">
      <c r="K14" s="451"/>
      <c r="L14" s="451"/>
      <c r="M14" s="451"/>
      <c r="N14" s="449"/>
      <c r="O14" s="447"/>
      <c r="P14" s="449"/>
      <c r="Q14" s="444"/>
    </row>
    <row r="15" spans="1:24" ht="15" customHeight="1" x14ac:dyDescent="0.2">
      <c r="K15" s="27"/>
      <c r="L15" s="96"/>
      <c r="M15" s="96"/>
      <c r="N15" s="27"/>
      <c r="O15" s="27"/>
      <c r="P15" s="27"/>
    </row>
    <row r="16" spans="1:24" ht="15" customHeight="1" x14ac:dyDescent="0.2">
      <c r="K16" s="27"/>
      <c r="L16" s="27"/>
      <c r="M16" s="27"/>
      <c r="N16" s="27"/>
      <c r="O16" s="27"/>
      <c r="P16" s="27"/>
    </row>
    <row r="17" spans="11:16" ht="15" customHeight="1" x14ac:dyDescent="0.2">
      <c r="K17" s="94"/>
      <c r="L17" s="94"/>
      <c r="M17" s="94"/>
      <c r="N17" s="97" t="s">
        <v>179</v>
      </c>
      <c r="O17" s="94"/>
      <c r="P17" s="97" t="s">
        <v>180</v>
      </c>
    </row>
    <row r="18" spans="11:16" ht="15" customHeight="1" x14ac:dyDescent="0.2">
      <c r="K18" s="445" t="s">
        <v>175</v>
      </c>
      <c r="L18" s="445"/>
      <c r="M18" s="445"/>
      <c r="N18" s="98">
        <v>0</v>
      </c>
      <c r="O18" s="99" t="s">
        <v>61</v>
      </c>
      <c r="P18" s="100">
        <f>N18*4.89</f>
        <v>0</v>
      </c>
    </row>
    <row r="19" spans="11:16" ht="15" customHeight="1" x14ac:dyDescent="0.2">
      <c r="K19" s="27"/>
      <c r="L19" s="27"/>
      <c r="M19" s="27"/>
      <c r="N19" s="27"/>
      <c r="O19" s="27"/>
      <c r="P19" s="27"/>
    </row>
    <row r="20" spans="11:16" ht="15" customHeight="1" x14ac:dyDescent="0.2">
      <c r="K20" s="27"/>
      <c r="L20" s="27"/>
      <c r="M20" s="27"/>
      <c r="N20" s="27"/>
      <c r="O20" s="27"/>
      <c r="P20" s="27"/>
    </row>
    <row r="21" spans="11:16" ht="15" customHeight="1" x14ac:dyDescent="0.2">
      <c r="K21" s="444"/>
      <c r="L21" s="444"/>
      <c r="M21" s="444"/>
      <c r="N21" s="444"/>
      <c r="O21" s="444"/>
      <c r="P21" s="444"/>
    </row>
    <row r="22" spans="11:16" ht="15" customHeight="1" x14ac:dyDescent="0.2"/>
    <row r="23" spans="11:16" ht="15" customHeight="1" x14ac:dyDescent="0.2">
      <c r="K23" s="452"/>
      <c r="L23" s="452"/>
      <c r="M23" s="452"/>
      <c r="N23" s="452"/>
    </row>
    <row r="24" spans="11:16" ht="15" customHeight="1" x14ac:dyDescent="0.2">
      <c r="K24" s="453"/>
      <c r="L24" s="453"/>
      <c r="M24" s="453"/>
      <c r="N24" s="453"/>
    </row>
    <row r="25" spans="11:16" ht="15" customHeight="1" x14ac:dyDescent="0.2"/>
    <row r="26" spans="11:16" ht="15" customHeight="1" x14ac:dyDescent="0.2"/>
    <row r="27" spans="11:16" ht="15" customHeight="1" x14ac:dyDescent="0.2"/>
    <row r="28" spans="11:16" ht="15" customHeight="1" x14ac:dyDescent="0.2">
      <c r="K28" s="3"/>
      <c r="L28" s="3"/>
      <c r="M28" s="3"/>
      <c r="N28" s="3"/>
      <c r="O28" s="3"/>
      <c r="P28" s="3"/>
    </row>
    <row r="29" spans="11:16" ht="15" customHeight="1" x14ac:dyDescent="0.2"/>
    <row r="30" spans="11:16" ht="15" customHeight="1" x14ac:dyDescent="0.2"/>
    <row r="31" spans="11:16" ht="15" customHeight="1" x14ac:dyDescent="0.2"/>
    <row r="32" spans="11:16"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sheetProtection password="8BE7" sheet="1" objects="1" scenarios="1"/>
  <mergeCells count="21">
    <mergeCell ref="A4:P4"/>
    <mergeCell ref="A5:P5"/>
    <mergeCell ref="W3:X3"/>
    <mergeCell ref="A1:P1"/>
    <mergeCell ref="A2:P2"/>
    <mergeCell ref="A3:P3"/>
    <mergeCell ref="R2:U2"/>
    <mergeCell ref="R3:U3"/>
    <mergeCell ref="R4:U4"/>
    <mergeCell ref="K23:N23"/>
    <mergeCell ref="K24:N24"/>
    <mergeCell ref="K7:P8"/>
    <mergeCell ref="K10:M10"/>
    <mergeCell ref="K21:P21"/>
    <mergeCell ref="A6:P6"/>
    <mergeCell ref="Q13:Q14"/>
    <mergeCell ref="K18:M18"/>
    <mergeCell ref="O13:O14"/>
    <mergeCell ref="P13:P14"/>
    <mergeCell ref="K13:M14"/>
    <mergeCell ref="N13:N14"/>
  </mergeCells>
  <phoneticPr fontId="3" type="noConversion"/>
  <conditionalFormatting sqref="K23:N23">
    <cfRule type="expression" dxfId="44" priority="1" stopIfTrue="1">
      <formula>F.D=1</formula>
    </cfRule>
  </conditionalFormatting>
  <hyperlinks>
    <hyperlink ref="R2:U2" location="'Protected Areas'!A1" display="back to Protected Areas"/>
    <hyperlink ref="R4:U4" location="'Leakage Compensation'!A1" display="back to Leakage Compensation"/>
    <hyperlink ref="W3:X3" location="'Protected Areas'!A1" display="back to Protected Areas"/>
  </hyperlinks>
  <printOptions horizontalCentered="1"/>
  <pageMargins left="0.5" right="0.5" top="1.5" bottom="1" header="0.5" footer="0.5"/>
  <pageSetup paperSize="9" scale="63" orientation="landscape" horizontalDpi="300" verticalDpi="300" r:id="rId1"/>
  <headerFooter alignWithMargins="0">
    <oddHeader>&amp;L&amp;G</oddHeader>
    <oddFooter>&amp;L&amp;"+,Regular"&amp;8Tel  : +98 ( 21 ) 4420 1601
&amp;K00+000Tel  : &amp;K000000+98 ( 21 ) 4420 1768
Fax : +98 ( 21 ) 4420 1934&amp;C&amp;"Cambria,Regular"&amp;8- 9 -&amp;R&amp;"camberia,Regular"&amp;8Design by Ali  Cheraghi 
(BSEE)</odd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M46"/>
  <sheetViews>
    <sheetView showGridLines="0" rightToLeft="1" view="pageBreakPreview" zoomScale="115" zoomScaleNormal="100" zoomScaleSheetLayoutView="115" workbookViewId="0">
      <pane ySplit="6" topLeftCell="A7" activePane="bottomLeft" state="frozen"/>
      <selection pane="bottomLeft" activeCell="B8" sqref="B8:M18"/>
    </sheetView>
  </sheetViews>
  <sheetFormatPr defaultColWidth="9.140625" defaultRowHeight="15.75" x14ac:dyDescent="0.2"/>
  <cols>
    <col min="1" max="1" width="4.7109375" style="215" customWidth="1"/>
    <col min="2" max="13" width="10.7109375" style="215" customWidth="1"/>
    <col min="14" max="14" width="4.7109375" style="215" customWidth="1"/>
    <col min="15" max="16384" width="9.140625" style="215"/>
  </cols>
  <sheetData>
    <row r="1" spans="2:13" ht="12" customHeight="1" x14ac:dyDescent="0.2">
      <c r="B1" s="199" t="str">
        <f>Summary!L1</f>
        <v>1396/05/28</v>
      </c>
      <c r="C1" s="199" t="s">
        <v>240</v>
      </c>
      <c r="D1" s="217"/>
      <c r="E1" s="217"/>
      <c r="F1" s="217"/>
      <c r="G1" s="217"/>
      <c r="H1" s="217"/>
      <c r="I1" s="217"/>
      <c r="J1" s="217"/>
      <c r="K1" s="217"/>
      <c r="L1" s="217"/>
      <c r="M1" s="217"/>
    </row>
    <row r="2" spans="2:13" ht="12" customHeight="1" x14ac:dyDescent="0.2">
      <c r="B2" s="199">
        <f>Summary!L2</f>
        <v>26.8</v>
      </c>
      <c r="C2" s="199" t="s">
        <v>241</v>
      </c>
      <c r="D2" s="217"/>
      <c r="E2" s="217"/>
      <c r="F2" s="217"/>
      <c r="G2" s="217"/>
      <c r="H2" s="217"/>
      <c r="I2" s="217"/>
      <c r="J2" s="217"/>
      <c r="K2" s="217"/>
      <c r="L2" s="217"/>
      <c r="M2" s="217"/>
    </row>
    <row r="3" spans="2:13" ht="12" customHeight="1" x14ac:dyDescent="0.2">
      <c r="B3" s="244" t="s">
        <v>242</v>
      </c>
      <c r="C3" s="244"/>
      <c r="D3" s="216"/>
      <c r="E3" s="217"/>
      <c r="F3" s="217"/>
      <c r="G3" s="217"/>
      <c r="H3" s="217"/>
      <c r="I3" s="217"/>
      <c r="J3" s="217"/>
      <c r="K3" s="217"/>
      <c r="L3" s="217"/>
      <c r="M3" s="217"/>
    </row>
    <row r="4" spans="2:13" ht="25.5" x14ac:dyDescent="0.2">
      <c r="B4" s="246" t="s">
        <v>250</v>
      </c>
      <c r="C4" s="246"/>
      <c r="D4" s="246"/>
      <c r="E4" s="246"/>
      <c r="F4" s="246"/>
      <c r="G4" s="246"/>
      <c r="H4" s="246"/>
      <c r="I4" s="246"/>
      <c r="J4" s="246"/>
      <c r="K4" s="246"/>
      <c r="L4" s="246"/>
      <c r="M4" s="246"/>
    </row>
    <row r="5" spans="2:13" ht="12" customHeight="1" x14ac:dyDescent="0.2">
      <c r="B5" s="218"/>
      <c r="C5" s="218"/>
      <c r="D5" s="218"/>
      <c r="E5" s="218"/>
      <c r="F5" s="218"/>
      <c r="G5" s="218"/>
      <c r="H5" s="218"/>
      <c r="I5" s="218"/>
      <c r="J5" s="218"/>
      <c r="K5" s="218"/>
      <c r="L5" s="218"/>
      <c r="M5" s="218"/>
    </row>
    <row r="6" spans="2:13" ht="20.25" x14ac:dyDescent="0.2">
      <c r="B6" s="247" t="s">
        <v>251</v>
      </c>
      <c r="C6" s="247"/>
      <c r="D6" s="247"/>
      <c r="E6" s="247"/>
      <c r="F6" s="247"/>
      <c r="G6" s="247"/>
      <c r="H6" s="247"/>
      <c r="I6" s="247"/>
      <c r="J6" s="247"/>
      <c r="K6" s="247"/>
      <c r="L6" s="247"/>
      <c r="M6" s="247"/>
    </row>
    <row r="7" spans="2:13" ht="20.25" x14ac:dyDescent="0.2">
      <c r="B7" s="223"/>
      <c r="C7" s="223"/>
      <c r="D7" s="223"/>
      <c r="E7" s="223"/>
      <c r="F7" s="223"/>
      <c r="G7" s="223"/>
      <c r="H7" s="223"/>
      <c r="I7" s="223"/>
      <c r="J7" s="223"/>
      <c r="K7" s="223"/>
      <c r="L7" s="223"/>
      <c r="M7" s="223"/>
    </row>
    <row r="8" spans="2:13" ht="20.100000000000001" customHeight="1" x14ac:dyDescent="0.2">
      <c r="B8" s="248" t="s">
        <v>285</v>
      </c>
      <c r="C8" s="248"/>
      <c r="D8" s="248"/>
      <c r="E8" s="248"/>
      <c r="F8" s="248"/>
      <c r="G8" s="248"/>
      <c r="H8" s="248"/>
      <c r="I8" s="248"/>
      <c r="J8" s="248"/>
      <c r="K8" s="248"/>
      <c r="L8" s="248"/>
      <c r="M8" s="248"/>
    </row>
    <row r="9" spans="2:13" ht="20.100000000000001" customHeight="1" x14ac:dyDescent="0.2">
      <c r="B9" s="248"/>
      <c r="C9" s="248"/>
      <c r="D9" s="248"/>
      <c r="E9" s="248"/>
      <c r="F9" s="248"/>
      <c r="G9" s="248"/>
      <c r="H9" s="248"/>
      <c r="I9" s="248"/>
      <c r="J9" s="248"/>
      <c r="K9" s="248"/>
      <c r="L9" s="248"/>
      <c r="M9" s="248"/>
    </row>
    <row r="10" spans="2:13" ht="20.100000000000001" customHeight="1" x14ac:dyDescent="0.2">
      <c r="B10" s="248"/>
      <c r="C10" s="248"/>
      <c r="D10" s="248"/>
      <c r="E10" s="248"/>
      <c r="F10" s="248"/>
      <c r="G10" s="248"/>
      <c r="H10" s="248"/>
      <c r="I10" s="248"/>
      <c r="J10" s="248"/>
      <c r="K10" s="248"/>
      <c r="L10" s="248"/>
      <c r="M10" s="248"/>
    </row>
    <row r="11" spans="2:13" ht="20.100000000000001" customHeight="1" x14ac:dyDescent="0.2">
      <c r="B11" s="248"/>
      <c r="C11" s="248"/>
      <c r="D11" s="248"/>
      <c r="E11" s="248"/>
      <c r="F11" s="248"/>
      <c r="G11" s="248"/>
      <c r="H11" s="248"/>
      <c r="I11" s="248"/>
      <c r="J11" s="248"/>
      <c r="K11" s="248"/>
      <c r="L11" s="248"/>
      <c r="M11" s="248"/>
    </row>
    <row r="12" spans="2:13" ht="20.100000000000001" customHeight="1" x14ac:dyDescent="0.2">
      <c r="B12" s="248"/>
      <c r="C12" s="248"/>
      <c r="D12" s="248"/>
      <c r="E12" s="248"/>
      <c r="F12" s="248"/>
      <c r="G12" s="248"/>
      <c r="H12" s="248"/>
      <c r="I12" s="248"/>
      <c r="J12" s="248"/>
      <c r="K12" s="248"/>
      <c r="L12" s="248"/>
      <c r="M12" s="248"/>
    </row>
    <row r="13" spans="2:13" ht="20.100000000000001" customHeight="1" x14ac:dyDescent="0.2">
      <c r="B13" s="248"/>
      <c r="C13" s="248"/>
      <c r="D13" s="248"/>
      <c r="E13" s="248"/>
      <c r="F13" s="248"/>
      <c r="G13" s="248"/>
      <c r="H13" s="248"/>
      <c r="I13" s="248"/>
      <c r="J13" s="248"/>
      <c r="K13" s="248"/>
      <c r="L13" s="248"/>
      <c r="M13" s="248"/>
    </row>
    <row r="14" spans="2:13" ht="20.100000000000001" customHeight="1" x14ac:dyDescent="0.2">
      <c r="B14" s="248"/>
      <c r="C14" s="248"/>
      <c r="D14" s="248"/>
      <c r="E14" s="248"/>
      <c r="F14" s="248"/>
      <c r="G14" s="248"/>
      <c r="H14" s="248"/>
      <c r="I14" s="248"/>
      <c r="J14" s="248"/>
      <c r="K14" s="248"/>
      <c r="L14" s="248"/>
      <c r="M14" s="248"/>
    </row>
    <row r="15" spans="2:13" ht="20.100000000000001" customHeight="1" x14ac:dyDescent="0.2">
      <c r="B15" s="248"/>
      <c r="C15" s="248"/>
      <c r="D15" s="248"/>
      <c r="E15" s="248"/>
      <c r="F15" s="248"/>
      <c r="G15" s="248"/>
      <c r="H15" s="248"/>
      <c r="I15" s="248"/>
      <c r="J15" s="248"/>
      <c r="K15" s="248"/>
      <c r="L15" s="248"/>
      <c r="M15" s="248"/>
    </row>
    <row r="16" spans="2:13" ht="20.100000000000001" customHeight="1" x14ac:dyDescent="0.2">
      <c r="B16" s="248"/>
      <c r="C16" s="248"/>
      <c r="D16" s="248"/>
      <c r="E16" s="248"/>
      <c r="F16" s="248"/>
      <c r="G16" s="248"/>
      <c r="H16" s="248"/>
      <c r="I16" s="248"/>
      <c r="J16" s="248"/>
      <c r="K16" s="248"/>
      <c r="L16" s="248"/>
      <c r="M16" s="248"/>
    </row>
    <row r="17" spans="2:13" ht="20.100000000000001" customHeight="1" x14ac:dyDescent="0.2">
      <c r="B17" s="248"/>
      <c r="C17" s="248"/>
      <c r="D17" s="248"/>
      <c r="E17" s="248"/>
      <c r="F17" s="248"/>
      <c r="G17" s="248"/>
      <c r="H17" s="248"/>
      <c r="I17" s="248"/>
      <c r="J17" s="248"/>
      <c r="K17" s="248"/>
      <c r="L17" s="248"/>
      <c r="M17" s="248"/>
    </row>
    <row r="18" spans="2:13" ht="20.100000000000001" customHeight="1" x14ac:dyDescent="0.2">
      <c r="B18" s="248"/>
      <c r="C18" s="248"/>
      <c r="D18" s="248"/>
      <c r="E18" s="248"/>
      <c r="F18" s="248"/>
      <c r="G18" s="248"/>
      <c r="H18" s="248"/>
      <c r="I18" s="248"/>
      <c r="J18" s="248"/>
      <c r="K18" s="248"/>
      <c r="L18" s="248"/>
      <c r="M18" s="248"/>
    </row>
    <row r="19" spans="2:13" ht="20.100000000000001" customHeight="1" x14ac:dyDescent="0.2">
      <c r="B19" s="221"/>
      <c r="C19" s="221"/>
      <c r="D19" s="221"/>
      <c r="E19" s="221"/>
      <c r="F19" s="221"/>
      <c r="G19" s="221"/>
      <c r="H19" s="221"/>
      <c r="I19" s="221"/>
      <c r="J19" s="221"/>
      <c r="K19" s="221"/>
      <c r="L19" s="221"/>
      <c r="M19" s="221"/>
    </row>
    <row r="20" spans="2:13" x14ac:dyDescent="0.2">
      <c r="B20" s="217"/>
      <c r="C20" s="217"/>
      <c r="D20" s="217"/>
      <c r="E20" s="217"/>
      <c r="F20" s="217"/>
      <c r="G20" s="217"/>
      <c r="H20" s="217"/>
      <c r="I20" s="217"/>
      <c r="J20" s="217"/>
      <c r="K20" s="217"/>
      <c r="L20" s="217"/>
      <c r="M20" s="217"/>
    </row>
    <row r="21" spans="2:13" ht="20.100000000000001" customHeight="1" x14ac:dyDescent="0.2">
      <c r="B21" s="248" t="s">
        <v>260</v>
      </c>
      <c r="C21" s="248"/>
      <c r="D21" s="248"/>
      <c r="E21" s="248"/>
      <c r="F21" s="248"/>
      <c r="G21" s="248"/>
      <c r="H21" s="248"/>
      <c r="I21" s="248"/>
      <c r="J21" s="248"/>
      <c r="K21" s="248"/>
      <c r="L21" s="248"/>
      <c r="M21" s="248"/>
    </row>
    <row r="22" spans="2:13" ht="20.100000000000001" customHeight="1" x14ac:dyDescent="0.2">
      <c r="B22" s="248"/>
      <c r="C22" s="248"/>
      <c r="D22" s="248"/>
      <c r="E22" s="248"/>
      <c r="F22" s="248"/>
      <c r="G22" s="248"/>
      <c r="H22" s="248"/>
      <c r="I22" s="248"/>
      <c r="J22" s="248"/>
      <c r="K22" s="248"/>
      <c r="L22" s="248"/>
      <c r="M22" s="248"/>
    </row>
    <row r="23" spans="2:13" ht="20.100000000000001" customHeight="1" x14ac:dyDescent="0.2">
      <c r="B23" s="248"/>
      <c r="C23" s="248"/>
      <c r="D23" s="248"/>
      <c r="E23" s="248"/>
      <c r="F23" s="248"/>
      <c r="G23" s="248"/>
      <c r="H23" s="248"/>
      <c r="I23" s="248"/>
      <c r="J23" s="248"/>
      <c r="K23" s="248"/>
      <c r="L23" s="248"/>
      <c r="M23" s="248"/>
    </row>
    <row r="24" spans="2:13" ht="20.100000000000001" customHeight="1" x14ac:dyDescent="0.2">
      <c r="B24" s="248"/>
      <c r="C24" s="248"/>
      <c r="D24" s="248"/>
      <c r="E24" s="248"/>
      <c r="F24" s="248"/>
      <c r="G24" s="248"/>
      <c r="H24" s="248"/>
      <c r="I24" s="248"/>
      <c r="J24" s="248"/>
      <c r="K24" s="248"/>
      <c r="L24" s="248"/>
      <c r="M24" s="248"/>
    </row>
    <row r="25" spans="2:13" ht="20.100000000000001" customHeight="1" x14ac:dyDescent="0.2">
      <c r="B25" s="248"/>
      <c r="C25" s="248"/>
      <c r="D25" s="248"/>
      <c r="E25" s="248"/>
      <c r="F25" s="248"/>
      <c r="G25" s="248"/>
      <c r="H25" s="248"/>
      <c r="I25" s="248"/>
      <c r="J25" s="248"/>
      <c r="K25" s="248"/>
      <c r="L25" s="248"/>
      <c r="M25" s="248"/>
    </row>
    <row r="26" spans="2:13" ht="20.100000000000001" customHeight="1" x14ac:dyDescent="0.2">
      <c r="B26" s="248"/>
      <c r="C26" s="248"/>
      <c r="D26" s="248"/>
      <c r="E26" s="248"/>
      <c r="F26" s="248"/>
      <c r="G26" s="248"/>
      <c r="H26" s="248"/>
      <c r="I26" s="248"/>
      <c r="J26" s="248"/>
      <c r="K26" s="248"/>
      <c r="L26" s="248"/>
      <c r="M26" s="248"/>
    </row>
    <row r="27" spans="2:13" ht="20.100000000000001" customHeight="1" x14ac:dyDescent="0.2">
      <c r="B27" s="248"/>
      <c r="C27" s="248"/>
      <c r="D27" s="248"/>
      <c r="E27" s="248"/>
      <c r="F27" s="248"/>
      <c r="G27" s="248"/>
      <c r="H27" s="248"/>
      <c r="I27" s="248"/>
      <c r="J27" s="248"/>
      <c r="K27" s="248"/>
      <c r="L27" s="248"/>
      <c r="M27" s="248"/>
    </row>
    <row r="28" spans="2:13" ht="20.100000000000001" customHeight="1" x14ac:dyDescent="0.2">
      <c r="B28" s="248"/>
      <c r="C28" s="248"/>
      <c r="D28" s="248"/>
      <c r="E28" s="248"/>
      <c r="F28" s="248"/>
      <c r="G28" s="248"/>
      <c r="H28" s="248"/>
      <c r="I28" s="248"/>
      <c r="J28" s="248"/>
      <c r="K28" s="248"/>
      <c r="L28" s="248"/>
      <c r="M28" s="248"/>
    </row>
    <row r="29" spans="2:13" ht="19.5" x14ac:dyDescent="0.2">
      <c r="B29" s="248"/>
      <c r="C29" s="248"/>
      <c r="D29" s="248"/>
      <c r="E29" s="248"/>
      <c r="F29" s="248"/>
      <c r="G29" s="248"/>
      <c r="H29" s="248"/>
      <c r="I29" s="248"/>
      <c r="J29" s="248"/>
      <c r="K29" s="248"/>
      <c r="L29" s="248"/>
      <c r="M29" s="248"/>
    </row>
    <row r="30" spans="2:13" x14ac:dyDescent="0.2">
      <c r="B30" s="217"/>
      <c r="C30" s="217"/>
      <c r="D30" s="217"/>
      <c r="E30" s="217"/>
      <c r="F30" s="217"/>
      <c r="G30" s="217"/>
      <c r="H30" s="217"/>
      <c r="I30" s="217"/>
      <c r="J30" s="217"/>
      <c r="K30" s="217"/>
      <c r="L30" s="217"/>
      <c r="M30" s="217"/>
    </row>
    <row r="31" spans="2:13" x14ac:dyDescent="0.2">
      <c r="B31" s="217"/>
      <c r="C31" s="217"/>
      <c r="D31" s="217"/>
      <c r="E31" s="217"/>
      <c r="F31" s="217"/>
      <c r="G31" s="217"/>
      <c r="H31" s="217"/>
      <c r="I31" s="217"/>
      <c r="J31" s="217"/>
      <c r="K31" s="243" t="s">
        <v>252</v>
      </c>
      <c r="L31" s="243"/>
      <c r="M31" s="217"/>
    </row>
    <row r="32" spans="2:13" x14ac:dyDescent="0.2">
      <c r="B32" s="217"/>
      <c r="C32" s="217"/>
      <c r="D32" s="217"/>
      <c r="E32" s="217"/>
      <c r="F32" s="217"/>
      <c r="G32" s="217"/>
      <c r="H32" s="217"/>
      <c r="I32" s="217"/>
      <c r="J32" s="217"/>
      <c r="K32" s="243" t="s">
        <v>253</v>
      </c>
      <c r="L32" s="243"/>
      <c r="M32" s="217"/>
    </row>
    <row r="33" spans="2:13" x14ac:dyDescent="0.2">
      <c r="B33" s="217"/>
      <c r="C33" s="217"/>
      <c r="D33" s="217"/>
      <c r="E33" s="217"/>
      <c r="F33" s="217"/>
      <c r="G33" s="217"/>
      <c r="H33" s="217"/>
      <c r="I33" s="217"/>
      <c r="J33" s="217"/>
      <c r="K33" s="219"/>
      <c r="L33" s="219"/>
      <c r="M33" s="217"/>
    </row>
    <row r="34" spans="2:13" x14ac:dyDescent="0.2">
      <c r="B34" s="217"/>
      <c r="C34" s="217"/>
      <c r="D34" s="217"/>
      <c r="E34" s="217"/>
      <c r="F34" s="217"/>
      <c r="G34" s="217"/>
      <c r="H34" s="217"/>
      <c r="I34" s="217"/>
      <c r="J34" s="243" t="s">
        <v>259</v>
      </c>
      <c r="K34" s="243"/>
      <c r="L34" s="243"/>
      <c r="M34" s="243"/>
    </row>
    <row r="35" spans="2:13" x14ac:dyDescent="0.2">
      <c r="B35" s="217"/>
      <c r="C35" s="217"/>
      <c r="D35" s="217"/>
      <c r="E35" s="217"/>
      <c r="F35" s="217"/>
      <c r="G35" s="217"/>
      <c r="H35" s="217"/>
      <c r="I35" s="217"/>
      <c r="J35" s="217"/>
      <c r="K35" s="219"/>
      <c r="L35" s="219"/>
      <c r="M35" s="217"/>
    </row>
    <row r="36" spans="2:13" x14ac:dyDescent="0.2">
      <c r="B36" s="217"/>
      <c r="C36" s="217"/>
      <c r="D36" s="217"/>
      <c r="E36" s="217"/>
      <c r="F36" s="217"/>
      <c r="G36" s="217"/>
      <c r="H36" s="217"/>
      <c r="I36" s="217"/>
      <c r="J36" s="217"/>
      <c r="K36" s="217"/>
      <c r="L36" s="217"/>
      <c r="M36" s="217"/>
    </row>
    <row r="37" spans="2:13" x14ac:dyDescent="0.2">
      <c r="B37" s="217" t="s">
        <v>254</v>
      </c>
      <c r="C37" s="217"/>
      <c r="D37" s="217"/>
      <c r="E37" s="217"/>
      <c r="F37" s="217"/>
      <c r="G37" s="217"/>
      <c r="H37" s="217"/>
      <c r="I37" s="217"/>
      <c r="J37" s="217"/>
      <c r="K37" s="217"/>
      <c r="L37" s="217"/>
      <c r="M37" s="217"/>
    </row>
    <row r="38" spans="2:13" ht="15.75" customHeight="1" x14ac:dyDescent="0.2">
      <c r="B38" s="217"/>
      <c r="C38" s="245" t="s">
        <v>255</v>
      </c>
      <c r="D38" s="245"/>
      <c r="E38" s="245"/>
      <c r="F38" s="228" t="s">
        <v>256</v>
      </c>
      <c r="G38" s="217"/>
      <c r="H38" s="217"/>
      <c r="I38" s="217"/>
      <c r="J38" s="217"/>
      <c r="K38" s="217"/>
      <c r="L38" s="217"/>
      <c r="M38" s="217"/>
    </row>
    <row r="39" spans="2:13" x14ac:dyDescent="0.2">
      <c r="B39" s="217"/>
      <c r="C39" s="245"/>
      <c r="D39" s="245"/>
      <c r="E39" s="245"/>
      <c r="F39" s="229"/>
      <c r="G39" s="217"/>
      <c r="H39" s="217"/>
      <c r="I39" s="217"/>
      <c r="J39" s="217"/>
      <c r="K39" s="217"/>
      <c r="L39" s="217"/>
      <c r="M39" s="217"/>
    </row>
    <row r="40" spans="2:13" x14ac:dyDescent="0.2">
      <c r="B40" s="217"/>
      <c r="C40" s="242" t="s">
        <v>258</v>
      </c>
      <c r="D40" s="242"/>
      <c r="E40" s="242"/>
      <c r="F40" s="228" t="s">
        <v>257</v>
      </c>
      <c r="G40" s="217"/>
      <c r="H40" s="217"/>
      <c r="I40" s="217"/>
      <c r="J40" s="217"/>
      <c r="K40" s="217"/>
      <c r="L40" s="217"/>
      <c r="M40" s="217"/>
    </row>
    <row r="41" spans="2:13" x14ac:dyDescent="0.2">
      <c r="B41" s="217"/>
      <c r="C41" s="222"/>
      <c r="D41" s="222"/>
      <c r="E41" s="222"/>
      <c r="F41" s="220"/>
      <c r="G41" s="217"/>
      <c r="H41" s="217"/>
      <c r="I41" s="217"/>
      <c r="J41" s="217"/>
      <c r="K41" s="217"/>
      <c r="L41" s="217"/>
      <c r="M41" s="217"/>
    </row>
    <row r="42" spans="2:13" x14ac:dyDescent="0.2">
      <c r="B42" s="217"/>
      <c r="C42" s="222"/>
      <c r="D42" s="222"/>
      <c r="E42" s="222"/>
      <c r="F42" s="220"/>
      <c r="G42" s="217"/>
      <c r="H42" s="217"/>
      <c r="I42" s="217"/>
      <c r="J42" s="217"/>
      <c r="K42" s="217"/>
      <c r="L42" s="217"/>
      <c r="M42" s="217"/>
    </row>
    <row r="43" spans="2:13" x14ac:dyDescent="0.2">
      <c r="B43" s="217"/>
      <c r="C43" s="222"/>
      <c r="D43" s="222"/>
      <c r="E43" s="222"/>
      <c r="F43" s="220"/>
      <c r="G43" s="217"/>
      <c r="H43" s="217"/>
      <c r="I43" s="217"/>
      <c r="J43" s="217"/>
      <c r="K43" s="217"/>
      <c r="L43" s="217"/>
      <c r="M43" s="217"/>
    </row>
    <row r="44" spans="2:13" x14ac:dyDescent="0.2">
      <c r="B44" s="217"/>
      <c r="C44" s="222"/>
      <c r="D44" s="222"/>
      <c r="E44" s="222"/>
      <c r="F44" s="220"/>
      <c r="G44" s="217"/>
      <c r="H44" s="217"/>
      <c r="I44" s="217"/>
      <c r="J44" s="217"/>
      <c r="K44" s="217"/>
      <c r="L44" s="217"/>
      <c r="M44" s="217"/>
    </row>
    <row r="45" spans="2:13" x14ac:dyDescent="0.2">
      <c r="B45" s="217"/>
      <c r="C45" s="222"/>
      <c r="D45" s="222"/>
      <c r="E45" s="222"/>
      <c r="F45" s="220"/>
      <c r="G45" s="217"/>
      <c r="H45" s="217"/>
      <c r="I45" s="217"/>
      <c r="J45" s="217"/>
      <c r="K45" s="217"/>
      <c r="L45" s="217"/>
      <c r="M45" s="217"/>
    </row>
    <row r="46" spans="2:13" x14ac:dyDescent="0.2">
      <c r="B46" s="217"/>
      <c r="C46" s="217"/>
      <c r="D46" s="217"/>
      <c r="E46" s="217"/>
      <c r="F46" s="217"/>
      <c r="G46" s="217"/>
      <c r="H46" s="217"/>
      <c r="I46" s="217"/>
      <c r="J46" s="217"/>
      <c r="K46" s="217"/>
      <c r="L46" s="217"/>
      <c r="M46" s="217"/>
    </row>
  </sheetData>
  <sheetProtection password="8BE7" sheet="1" objects="1" scenarios="1"/>
  <mergeCells count="11">
    <mergeCell ref="C40:E40"/>
    <mergeCell ref="J34:M34"/>
    <mergeCell ref="B3:C3"/>
    <mergeCell ref="K31:L31"/>
    <mergeCell ref="K32:L32"/>
    <mergeCell ref="C38:E39"/>
    <mergeCell ref="B4:M4"/>
    <mergeCell ref="B6:M6"/>
    <mergeCell ref="B8:M18"/>
    <mergeCell ref="B21:M28"/>
    <mergeCell ref="B29:M29"/>
  </mergeCells>
  <pageMargins left="0.5" right="0.5" top="0.75" bottom="0.5" header="0.3" footer="0.3"/>
  <pageSetup paperSize="9" scale="68" orientation="portrait" horizontalDpi="1200" verticalDpi="1200" r:id="rId1"/>
  <drawing r:id="rId2"/>
  <legacyDrawing r:id="rId3"/>
  <oleObjects>
    <mc:AlternateContent xmlns:mc="http://schemas.openxmlformats.org/markup-compatibility/2006">
      <mc:Choice Requires="x14">
        <oleObject progId="AcroExch.Document.7" dvAspect="DVASPECT_ICON" shapeId="103429" r:id="rId4">
          <objectPr locked="0" defaultSize="0" autoPict="0" r:id="rId5">
            <anchor>
              <from>
                <xdr:col>5</xdr:col>
                <xdr:colOff>495300</xdr:colOff>
                <xdr:row>42</xdr:row>
                <xdr:rowOff>200025</xdr:rowOff>
              </from>
              <to>
                <xdr:col>6</xdr:col>
                <xdr:colOff>552450</xdr:colOff>
                <xdr:row>46</xdr:row>
                <xdr:rowOff>38100</xdr:rowOff>
              </to>
            </anchor>
          </objectPr>
        </oleObject>
      </mc:Choice>
      <mc:Fallback>
        <oleObject progId="AcroExch.Document.7" dvAspect="DVASPECT_ICON" shapeId="10342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pageSetUpPr fitToPage="1"/>
  </sheetPr>
  <dimension ref="A1:M48"/>
  <sheetViews>
    <sheetView showGridLines="0" tabSelected="1" view="pageBreakPreview" zoomScale="110" workbookViewId="0">
      <pane ySplit="5" topLeftCell="A6" activePane="bottomLeft" state="frozen"/>
      <selection pane="bottomLeft" activeCell="A4" sqref="A4:L4"/>
    </sheetView>
  </sheetViews>
  <sheetFormatPr defaultColWidth="9.140625" defaultRowHeight="12.75" x14ac:dyDescent="0.2"/>
  <cols>
    <col min="1" max="6" width="9.140625" style="12"/>
    <col min="7" max="7" width="15.5703125" style="12" customWidth="1"/>
    <col min="8" max="16384" width="9.140625" style="12"/>
  </cols>
  <sheetData>
    <row r="1" spans="1:13" ht="9.9499999999999993" customHeight="1" x14ac:dyDescent="0.15">
      <c r="A1" s="13"/>
      <c r="B1" s="13"/>
      <c r="C1" s="13"/>
      <c r="D1" s="13"/>
      <c r="E1" s="13"/>
      <c r="F1" s="13"/>
      <c r="G1" s="13"/>
      <c r="H1" s="13"/>
      <c r="I1" s="13"/>
      <c r="J1" s="13"/>
      <c r="K1" s="199" t="s">
        <v>240</v>
      </c>
      <c r="L1" s="199" t="s">
        <v>284</v>
      </c>
    </row>
    <row r="2" spans="1:13" s="119" customFormat="1" ht="9.9499999999999993" customHeight="1" x14ac:dyDescent="0.15">
      <c r="A2" s="13"/>
      <c r="B2" s="13"/>
      <c r="C2" s="13"/>
      <c r="D2" s="13"/>
      <c r="E2" s="13"/>
      <c r="F2" s="13"/>
      <c r="G2" s="13"/>
      <c r="H2" s="13"/>
      <c r="I2" s="13"/>
      <c r="J2" s="13"/>
      <c r="K2" s="199" t="s">
        <v>241</v>
      </c>
      <c r="L2" s="199">
        <v>26.8</v>
      </c>
    </row>
    <row r="3" spans="1:13" s="119" customFormat="1" ht="9.9499999999999993" customHeight="1" x14ac:dyDescent="0.15">
      <c r="A3" s="13"/>
      <c r="B3" s="13"/>
      <c r="C3" s="13"/>
      <c r="D3" s="13"/>
      <c r="E3" s="13"/>
      <c r="F3" s="13"/>
      <c r="G3" s="13"/>
      <c r="H3" s="13"/>
      <c r="I3" s="13"/>
      <c r="J3" s="13"/>
      <c r="K3" s="210" t="s">
        <v>242</v>
      </c>
      <c r="L3" s="210"/>
    </row>
    <row r="4" spans="1:13" ht="30" customHeight="1" x14ac:dyDescent="0.2">
      <c r="A4" s="270" t="s">
        <v>249</v>
      </c>
      <c r="B4" s="270"/>
      <c r="C4" s="270"/>
      <c r="D4" s="270"/>
      <c r="E4" s="270"/>
      <c r="F4" s="270"/>
      <c r="G4" s="270"/>
      <c r="H4" s="270"/>
      <c r="I4" s="270"/>
      <c r="J4" s="270"/>
      <c r="K4" s="270"/>
      <c r="L4" s="270"/>
      <c r="M4" s="14"/>
    </row>
    <row r="5" spans="1:13" ht="20.100000000000001" customHeight="1" x14ac:dyDescent="0.2">
      <c r="A5" s="271" t="s">
        <v>88</v>
      </c>
      <c r="B5" s="271"/>
      <c r="C5" s="271"/>
      <c r="D5" s="271"/>
      <c r="E5" s="271"/>
      <c r="F5" s="271"/>
      <c r="G5" s="271"/>
      <c r="H5" s="271"/>
      <c r="I5" s="271"/>
      <c r="J5" s="271"/>
      <c r="K5" s="271"/>
      <c r="L5" s="271"/>
      <c r="M5" s="14"/>
    </row>
    <row r="6" spans="1:13" s="119" customFormat="1" ht="20.100000000000001" customHeight="1" x14ac:dyDescent="0.2">
      <c r="A6" s="271" t="s">
        <v>265</v>
      </c>
      <c r="B6" s="271"/>
      <c r="C6" s="271"/>
      <c r="D6" s="271"/>
      <c r="E6" s="271"/>
      <c r="F6" s="271"/>
      <c r="G6" s="271"/>
      <c r="H6" s="271"/>
      <c r="I6" s="271"/>
      <c r="J6" s="271"/>
      <c r="K6" s="271"/>
      <c r="L6" s="271"/>
      <c r="M6" s="14"/>
    </row>
    <row r="7" spans="1:13" s="119" customFormat="1" ht="20.100000000000001" customHeight="1" x14ac:dyDescent="0.2">
      <c r="A7" s="155"/>
      <c r="B7" s="155"/>
      <c r="C7" s="155"/>
      <c r="D7" s="155"/>
      <c r="E7" s="155"/>
      <c r="F7" s="155"/>
      <c r="G7" s="155"/>
      <c r="H7" s="155"/>
      <c r="I7" s="155"/>
      <c r="J7" s="155"/>
      <c r="K7" s="155"/>
      <c r="L7" s="155"/>
      <c r="M7" s="14"/>
    </row>
    <row r="8" spans="1:13" ht="24.95" customHeight="1" x14ac:dyDescent="0.2">
      <c r="A8" s="15"/>
      <c r="B8" s="15"/>
      <c r="C8" s="15"/>
      <c r="D8" s="15"/>
      <c r="E8" s="15"/>
      <c r="F8" s="15"/>
      <c r="G8" s="15"/>
      <c r="H8" s="15"/>
      <c r="I8" s="15"/>
      <c r="J8" s="15"/>
      <c r="K8" s="15"/>
      <c r="L8" s="15"/>
      <c r="M8" s="14"/>
    </row>
    <row r="9" spans="1:13" ht="19.899999999999999" customHeight="1" x14ac:dyDescent="0.2">
      <c r="A9" s="253" t="s">
        <v>62</v>
      </c>
      <c r="B9" s="272"/>
      <c r="C9" s="273" t="s">
        <v>261</v>
      </c>
      <c r="D9" s="274"/>
      <c r="E9" s="274"/>
      <c r="F9" s="275"/>
      <c r="G9" s="16"/>
      <c r="H9" s="17"/>
      <c r="I9" s="213" t="s">
        <v>64</v>
      </c>
      <c r="J9" s="276" t="s">
        <v>112</v>
      </c>
      <c r="K9" s="276"/>
      <c r="L9" s="276"/>
      <c r="M9" s="14"/>
    </row>
    <row r="10" spans="1:13" ht="19.899999999999999" customHeight="1" x14ac:dyDescent="0.2">
      <c r="A10" s="17"/>
      <c r="B10" s="17"/>
      <c r="C10" s="273"/>
      <c r="D10" s="274"/>
      <c r="E10" s="274"/>
      <c r="F10" s="275"/>
      <c r="G10" s="16"/>
      <c r="H10" s="17"/>
      <c r="I10" s="18"/>
      <c r="J10" s="18"/>
      <c r="K10" s="16"/>
      <c r="L10" s="16"/>
      <c r="M10" s="14"/>
    </row>
    <row r="11" spans="1:13" ht="19.899999999999999" customHeight="1" x14ac:dyDescent="0.2">
      <c r="A11" s="16"/>
      <c r="B11" s="16"/>
      <c r="C11" s="16"/>
      <c r="D11" s="16"/>
      <c r="E11" s="16"/>
      <c r="F11" s="16"/>
      <c r="G11" s="16"/>
      <c r="H11" s="16"/>
      <c r="I11" s="16"/>
      <c r="J11" s="16"/>
      <c r="K11" s="16"/>
      <c r="L11" s="16"/>
      <c r="M11" s="14"/>
    </row>
    <row r="12" spans="1:13" ht="19.899999999999999" customHeight="1" x14ac:dyDescent="0.2">
      <c r="A12" s="253" t="s">
        <v>90</v>
      </c>
      <c r="B12" s="254"/>
      <c r="C12" s="250"/>
      <c r="D12" s="251"/>
      <c r="E12" s="251"/>
      <c r="F12" s="252"/>
      <c r="G12" s="16"/>
      <c r="H12" s="16"/>
      <c r="I12" s="16"/>
      <c r="J12" s="16"/>
      <c r="K12" s="16"/>
      <c r="L12" s="16"/>
      <c r="M12" s="14"/>
    </row>
    <row r="13" spans="1:13" ht="19.899999999999999" customHeight="1" x14ac:dyDescent="0.2">
      <c r="A13" s="16"/>
      <c r="B13" s="16"/>
      <c r="C13" s="250"/>
      <c r="D13" s="251"/>
      <c r="E13" s="251"/>
      <c r="F13" s="252"/>
      <c r="G13" s="16"/>
      <c r="H13" s="16"/>
      <c r="I13" s="16"/>
      <c r="J13" s="16"/>
      <c r="K13" s="16"/>
      <c r="L13" s="16"/>
      <c r="M13" s="14"/>
    </row>
    <row r="14" spans="1:13" ht="19.899999999999999" customHeight="1" x14ac:dyDescent="0.2">
      <c r="A14" s="16"/>
      <c r="B14" s="16"/>
      <c r="C14" s="16"/>
      <c r="D14" s="16"/>
      <c r="E14" s="16"/>
      <c r="F14" s="16"/>
      <c r="G14" s="16"/>
      <c r="H14" s="16"/>
      <c r="I14" s="16"/>
      <c r="J14" s="16"/>
      <c r="K14" s="16"/>
      <c r="L14" s="16"/>
      <c r="M14" s="14"/>
    </row>
    <row r="15" spans="1:13" ht="19.899999999999999" customHeight="1" x14ac:dyDescent="0.2">
      <c r="A15" s="253" t="s">
        <v>86</v>
      </c>
      <c r="B15" s="254"/>
      <c r="C15" s="255"/>
      <c r="D15" s="256"/>
      <c r="E15" s="256"/>
      <c r="F15" s="257"/>
      <c r="G15" s="16"/>
      <c r="H15" s="16"/>
      <c r="I15" s="213" t="s">
        <v>89</v>
      </c>
      <c r="J15" s="249"/>
      <c r="K15" s="249"/>
      <c r="L15" s="249"/>
      <c r="M15" s="14"/>
    </row>
    <row r="16" spans="1:13" ht="19.899999999999999" customHeight="1" x14ac:dyDescent="0.2">
      <c r="A16" s="253" t="s">
        <v>87</v>
      </c>
      <c r="B16" s="254"/>
      <c r="C16" s="255"/>
      <c r="D16" s="256"/>
      <c r="E16" s="256"/>
      <c r="F16" s="257"/>
      <c r="G16" s="16"/>
      <c r="H16" s="16"/>
      <c r="I16" s="16"/>
      <c r="J16" s="16"/>
      <c r="K16" s="16"/>
      <c r="L16" s="16"/>
      <c r="M16" s="14"/>
    </row>
    <row r="17" spans="1:13" ht="19.899999999999999" customHeight="1" x14ac:dyDescent="0.2">
      <c r="A17" s="16"/>
      <c r="B17" s="16"/>
      <c r="C17" s="16"/>
      <c r="D17" s="16"/>
      <c r="E17" s="16"/>
      <c r="F17" s="16"/>
      <c r="G17" s="16"/>
      <c r="H17" s="16"/>
      <c r="I17" s="16"/>
      <c r="J17" s="16"/>
      <c r="K17" s="16"/>
      <c r="L17" s="16"/>
      <c r="M17" s="14"/>
    </row>
    <row r="18" spans="1:13" ht="19.899999999999999" customHeight="1" x14ac:dyDescent="0.2">
      <c r="A18" s="253" t="s">
        <v>63</v>
      </c>
      <c r="B18" s="254"/>
      <c r="C18" s="250"/>
      <c r="D18" s="251"/>
      <c r="E18" s="251"/>
      <c r="F18" s="252"/>
      <c r="G18" s="16"/>
      <c r="I18" s="17"/>
      <c r="J18" s="258"/>
      <c r="K18" s="258"/>
      <c r="L18" s="258"/>
    </row>
    <row r="19" spans="1:13" ht="19.899999999999999" customHeight="1" x14ac:dyDescent="0.2">
      <c r="A19" s="16"/>
      <c r="B19" s="16"/>
      <c r="C19" s="250"/>
      <c r="D19" s="251"/>
      <c r="E19" s="251"/>
      <c r="F19" s="252"/>
      <c r="G19" s="16"/>
      <c r="H19" s="16"/>
      <c r="I19" s="16"/>
      <c r="J19" s="16"/>
      <c r="K19" s="16"/>
      <c r="L19" s="15"/>
    </row>
    <row r="20" spans="1:13" ht="19.899999999999999" customHeight="1" x14ac:dyDescent="0.2">
      <c r="A20" s="16"/>
      <c r="B20" s="16"/>
      <c r="C20" s="16"/>
      <c r="D20" s="16"/>
      <c r="E20" s="16"/>
      <c r="F20" s="16"/>
      <c r="G20" s="16"/>
      <c r="H20" s="16"/>
      <c r="I20" s="16"/>
      <c r="J20" s="16"/>
      <c r="K20" s="16"/>
      <c r="L20" s="16"/>
      <c r="M20" s="14"/>
    </row>
    <row r="21" spans="1:13" ht="19.899999999999999" customHeight="1" x14ac:dyDescent="0.2">
      <c r="A21" s="268" t="s">
        <v>30</v>
      </c>
      <c r="B21" s="268"/>
      <c r="C21" s="269"/>
      <c r="D21" s="269"/>
      <c r="E21" s="269"/>
      <c r="F21" s="269"/>
      <c r="G21" s="16"/>
      <c r="H21" s="17"/>
      <c r="I21" s="214" t="s">
        <v>65</v>
      </c>
      <c r="J21" s="269"/>
      <c r="K21" s="269"/>
      <c r="L21" s="269"/>
      <c r="M21" s="14"/>
    </row>
    <row r="22" spans="1:13" ht="15.75" x14ac:dyDescent="0.2">
      <c r="A22" s="16"/>
      <c r="B22" s="16"/>
      <c r="C22" s="260"/>
      <c r="D22" s="260"/>
      <c r="E22" s="260"/>
      <c r="F22" s="261"/>
      <c r="G22" s="16"/>
      <c r="H22" s="16"/>
      <c r="I22" s="16"/>
      <c r="J22" s="16"/>
      <c r="K22" s="16"/>
      <c r="L22" s="16"/>
      <c r="M22" s="14"/>
    </row>
    <row r="23" spans="1:13" ht="19.149999999999999" customHeight="1" x14ac:dyDescent="0.2">
      <c r="A23" s="259" t="s">
        <v>68</v>
      </c>
      <c r="B23" s="259"/>
      <c r="C23" s="259"/>
      <c r="D23" s="259"/>
      <c r="E23" s="259"/>
      <c r="F23" s="259"/>
      <c r="G23" s="259"/>
      <c r="H23" s="259"/>
      <c r="I23" s="259"/>
      <c r="J23" s="259"/>
      <c r="K23" s="259"/>
      <c r="L23" s="259"/>
      <c r="M23" s="14"/>
    </row>
    <row r="24" spans="1:13" s="119" customFormat="1" ht="19.149999999999999" customHeight="1" x14ac:dyDescent="0.2">
      <c r="A24" s="152"/>
      <c r="B24" s="152"/>
      <c r="C24" s="152"/>
      <c r="D24" s="152"/>
      <c r="E24" s="152"/>
      <c r="F24" s="152"/>
      <c r="G24" s="152"/>
      <c r="H24" s="152"/>
      <c r="I24" s="152"/>
      <c r="J24" s="152"/>
      <c r="K24" s="152"/>
      <c r="L24" s="152"/>
      <c r="M24" s="14"/>
    </row>
    <row r="25" spans="1:13" s="119" customFormat="1" ht="19.149999999999999" customHeight="1" x14ac:dyDescent="0.2">
      <c r="A25" s="204" t="s">
        <v>246</v>
      </c>
      <c r="B25" s="152"/>
      <c r="C25" s="152"/>
      <c r="D25" s="152"/>
      <c r="E25" s="152"/>
      <c r="F25" s="152"/>
      <c r="G25" s="152"/>
      <c r="H25" s="152"/>
      <c r="I25" s="152"/>
      <c r="J25" s="152"/>
      <c r="K25" s="152"/>
      <c r="L25" s="152"/>
      <c r="M25" s="14"/>
    </row>
    <row r="26" spans="1:13" s="119" customFormat="1" ht="39.950000000000003" customHeight="1" x14ac:dyDescent="0.2">
      <c r="A26" s="267" t="s">
        <v>263</v>
      </c>
      <c r="B26" s="267"/>
      <c r="C26" s="267"/>
      <c r="D26" s="267"/>
      <c r="E26" s="267"/>
      <c r="F26" s="267"/>
      <c r="G26" s="267"/>
      <c r="H26" s="267"/>
      <c r="I26" s="267"/>
      <c r="J26" s="267"/>
      <c r="K26" s="267"/>
      <c r="L26" s="267"/>
      <c r="M26" s="14"/>
    </row>
    <row r="27" spans="1:13" s="119" customFormat="1" ht="30" customHeight="1" x14ac:dyDescent="0.2">
      <c r="A27" s="152"/>
      <c r="B27" s="205"/>
      <c r="C27" s="206"/>
      <c r="D27" s="206"/>
      <c r="E27" s="206"/>
      <c r="F27" s="206"/>
      <c r="G27" s="206"/>
      <c r="H27" s="206"/>
      <c r="I27" s="206"/>
      <c r="J27" s="206"/>
      <c r="K27" s="206"/>
      <c r="L27" s="152"/>
      <c r="M27" s="14"/>
    </row>
    <row r="28" spans="1:13" s="119" customFormat="1" ht="20.100000000000001" customHeight="1" x14ac:dyDescent="0.2">
      <c r="A28" s="264" t="s">
        <v>264</v>
      </c>
      <c r="B28" s="265"/>
      <c r="C28" s="265"/>
      <c r="D28" s="265"/>
      <c r="E28" s="265"/>
      <c r="F28" s="265"/>
      <c r="G28" s="265"/>
      <c r="H28" s="265"/>
      <c r="I28" s="265"/>
      <c r="J28" s="265"/>
      <c r="K28" s="265"/>
      <c r="L28" s="266"/>
      <c r="M28" s="14"/>
    </row>
    <row r="29" spans="1:13" ht="15.75" x14ac:dyDescent="0.2">
      <c r="A29" s="16"/>
      <c r="B29" s="16"/>
      <c r="C29" s="16"/>
      <c r="D29" s="16"/>
      <c r="E29" s="16"/>
      <c r="F29" s="16"/>
      <c r="G29" s="16"/>
      <c r="H29" s="16"/>
      <c r="I29" s="16"/>
      <c r="J29" s="16"/>
      <c r="K29" s="16"/>
      <c r="L29" s="16"/>
      <c r="M29" s="14"/>
    </row>
    <row r="30" spans="1:13" ht="15" customHeight="1" x14ac:dyDescent="0.2">
      <c r="A30" s="262" t="s">
        <v>97</v>
      </c>
      <c r="B30" s="262"/>
      <c r="C30" s="262"/>
      <c r="D30" s="262"/>
      <c r="E30" s="208">
        <f>Total_Agent</f>
        <v>2793</v>
      </c>
      <c r="F30" s="16" t="s">
        <v>4</v>
      </c>
      <c r="G30" s="16"/>
      <c r="H30" s="16"/>
      <c r="I30" s="16"/>
      <c r="J30" s="16"/>
      <c r="K30" s="16"/>
      <c r="L30" s="16"/>
      <c r="M30" s="14"/>
    </row>
    <row r="31" spans="1:13" ht="15.75" x14ac:dyDescent="0.2">
      <c r="A31" s="17"/>
      <c r="B31" s="16"/>
      <c r="C31" s="16"/>
      <c r="D31" s="16"/>
      <c r="E31" s="16"/>
      <c r="F31" s="16"/>
      <c r="G31" s="16"/>
      <c r="H31" s="16"/>
      <c r="I31" s="16"/>
      <c r="J31" s="16"/>
      <c r="K31" s="16"/>
      <c r="L31" s="16"/>
      <c r="M31" s="14"/>
    </row>
    <row r="32" spans="1:13" ht="15" customHeight="1" x14ac:dyDescent="0.2">
      <c r="A32" s="262" t="s">
        <v>66</v>
      </c>
      <c r="B32" s="262"/>
      <c r="C32" s="262"/>
      <c r="D32" s="262"/>
      <c r="E32" s="207">
        <f>Container_No.</f>
        <v>63</v>
      </c>
      <c r="F32" s="16"/>
      <c r="G32" s="263" t="str">
        <f>IF(E30&lt;45,"Quantity of Required Co2 is Less than 1 Container Capacity","67 Liter Cylinders contain 45 kg CO2 (filling density: 0.67 kg/liter)")</f>
        <v>67 Liter Cylinders contain 45 kg CO2 (filling density: 0.67 kg/liter)</v>
      </c>
      <c r="H32" s="263"/>
      <c r="I32" s="263"/>
      <c r="J32" s="263"/>
      <c r="K32" s="263"/>
      <c r="L32" s="263"/>
      <c r="M32" s="14"/>
    </row>
    <row r="33" spans="1:13" ht="15.75" x14ac:dyDescent="0.2">
      <c r="A33" s="16"/>
      <c r="B33" s="16"/>
      <c r="C33" s="16"/>
      <c r="D33" s="16"/>
      <c r="E33" s="42" t="e">
        <f>IF(quantity&lt;45,0,1)</f>
        <v>#NAME?</v>
      </c>
      <c r="F33" s="16"/>
      <c r="G33" s="263" t="str">
        <f>IF('Protected Areas'!G76=1,"Main &amp; Reserve Cylinders","Just Main Cylinders")</f>
        <v>Just Main Cylinders</v>
      </c>
      <c r="H33" s="263"/>
      <c r="I33" s="263"/>
      <c r="J33" s="263"/>
      <c r="K33" s="263"/>
      <c r="L33" s="263"/>
      <c r="M33" s="14"/>
    </row>
    <row r="34" spans="1:13" ht="15" customHeight="1" x14ac:dyDescent="0.2">
      <c r="A34" s="262" t="s">
        <v>67</v>
      </c>
      <c r="B34" s="262"/>
      <c r="C34" s="262"/>
      <c r="D34" s="262"/>
      <c r="E34" s="208">
        <f>IF(Number_of_Enclosures=1,'Flow rate'!Q21,IF(Number_of_Enclosures&lt;=2,'Flow rate'!Q21+'Flow rate'!Q22,IF(Number_of_Enclosures&lt;=3,'Flow rate'!Q21+'Flow rate'!Q22+'Flow rate'!Q23,IF(Number_of_Enclosures&lt;=4,'Flow rate'!Q21+'Flow rate'!Q22+'Flow rate'!Q23+'Flow rate'!Q24,IF(Number_of_Enclosures&lt;=5,'Flow rate'!Q21+'Flow rate'!Q22+'Flow rate'!Q23+'Flow rate'!Q24+'Flow rate'!Q25)))))</f>
        <v>26</v>
      </c>
      <c r="F34" s="16"/>
      <c r="G34" s="16"/>
      <c r="H34" s="16"/>
      <c r="I34" s="16"/>
      <c r="J34" s="16"/>
      <c r="K34" s="16"/>
      <c r="L34" s="16"/>
      <c r="M34" s="14"/>
    </row>
    <row r="35" spans="1:13" s="119" customFormat="1" ht="15" customHeight="1" x14ac:dyDescent="0.2">
      <c r="A35" s="209"/>
      <c r="B35" s="209"/>
      <c r="C35" s="209"/>
      <c r="D35" s="209"/>
      <c r="E35" s="209"/>
      <c r="F35" s="151"/>
      <c r="G35" s="151"/>
      <c r="H35" s="151"/>
      <c r="I35" s="151"/>
      <c r="J35" s="151"/>
      <c r="K35" s="151"/>
      <c r="L35" s="151"/>
      <c r="M35" s="14"/>
    </row>
    <row r="36" spans="1:13" ht="15.75" x14ac:dyDescent="0.2">
      <c r="A36" s="16"/>
      <c r="B36" s="16"/>
      <c r="C36" s="16"/>
      <c r="D36" s="16"/>
      <c r="E36" s="19" t="e">
        <f>((IF(Container_No.&lt;=5,1,IF(Container_No.&lt;=10,2,IF(Container_No.&lt;=15,3,IF(Container_No.&lt;=20,4,IF(Container_No.&lt;=25,5,IF(Container_No.&lt;=30,6,IF(Container_No.&lt;=35,7,"Please Refer to NFPA 12 "))))))))-1)*E33</f>
        <v>#VALUE!</v>
      </c>
      <c r="F36" s="16"/>
      <c r="G36" s="16"/>
      <c r="H36" s="16"/>
      <c r="I36" s="16"/>
      <c r="J36" s="16"/>
      <c r="K36" s="16"/>
      <c r="L36" s="16"/>
      <c r="M36" s="14"/>
    </row>
    <row r="37" spans="1:13" ht="15.75" x14ac:dyDescent="0.2">
      <c r="A37" s="14"/>
      <c r="B37" s="14"/>
      <c r="C37" s="14"/>
      <c r="D37" s="14"/>
      <c r="E37" s="14"/>
      <c r="F37" s="14"/>
      <c r="G37" s="14"/>
      <c r="H37" s="14"/>
      <c r="I37" s="14"/>
      <c r="J37" s="14"/>
      <c r="K37" s="14"/>
      <c r="L37" s="14"/>
      <c r="M37" s="14"/>
    </row>
    <row r="38" spans="1:13" ht="15.75" x14ac:dyDescent="0.2">
      <c r="A38" s="14"/>
      <c r="B38" s="14"/>
      <c r="C38" s="14"/>
      <c r="D38" s="14"/>
      <c r="E38" s="14"/>
      <c r="F38" s="14"/>
      <c r="G38" s="14"/>
      <c r="H38" s="14"/>
      <c r="I38" s="14"/>
      <c r="J38" s="14"/>
      <c r="K38" s="14"/>
      <c r="L38" s="14"/>
      <c r="M38" s="14"/>
    </row>
    <row r="39" spans="1:13" ht="15.75" x14ac:dyDescent="0.2">
      <c r="A39" s="14"/>
      <c r="B39" s="14"/>
      <c r="C39" s="14"/>
      <c r="D39" s="14"/>
      <c r="E39" s="14"/>
      <c r="F39" s="14"/>
      <c r="G39" s="14"/>
      <c r="H39" s="14"/>
      <c r="I39" s="14"/>
      <c r="J39" s="14"/>
      <c r="K39" s="14"/>
      <c r="L39" s="14"/>
      <c r="M39" s="14"/>
    </row>
    <row r="40" spans="1:13" ht="15.75" x14ac:dyDescent="0.2">
      <c r="A40" s="14"/>
      <c r="B40" s="14"/>
      <c r="C40" s="14"/>
      <c r="D40" s="14"/>
      <c r="E40" s="14"/>
      <c r="F40" s="14"/>
      <c r="G40" s="14"/>
      <c r="H40" s="14"/>
      <c r="I40" s="14"/>
      <c r="J40" s="14"/>
      <c r="K40" s="14"/>
      <c r="L40" s="14"/>
      <c r="M40" s="14"/>
    </row>
    <row r="41" spans="1:13" ht="15.75" x14ac:dyDescent="0.2">
      <c r="A41" s="14"/>
      <c r="B41" s="14"/>
      <c r="C41" s="14"/>
      <c r="D41" s="14"/>
      <c r="E41" s="14"/>
      <c r="F41" s="14"/>
      <c r="G41" s="14"/>
      <c r="H41" s="14"/>
      <c r="I41" s="14"/>
      <c r="J41" s="14"/>
      <c r="K41" s="14"/>
      <c r="L41" s="14"/>
      <c r="M41" s="14"/>
    </row>
    <row r="42" spans="1:13" ht="15.75" x14ac:dyDescent="0.2">
      <c r="A42" s="14"/>
      <c r="B42" s="14"/>
      <c r="C42" s="14"/>
      <c r="D42" s="14"/>
      <c r="E42" s="14"/>
      <c r="F42" s="14"/>
      <c r="G42" s="14"/>
      <c r="H42" s="14"/>
      <c r="I42" s="14"/>
      <c r="J42" s="14"/>
      <c r="K42" s="14"/>
      <c r="L42" s="14"/>
      <c r="M42" s="14"/>
    </row>
    <row r="43" spans="1:13" ht="15.75" x14ac:dyDescent="0.2">
      <c r="A43" s="14"/>
      <c r="B43" s="14"/>
      <c r="C43" s="14"/>
      <c r="D43" s="14"/>
      <c r="E43" s="14"/>
      <c r="F43" s="14"/>
      <c r="G43" s="14"/>
      <c r="H43" s="14"/>
      <c r="I43" s="14"/>
      <c r="J43" s="14"/>
      <c r="K43" s="14"/>
      <c r="L43" s="14"/>
      <c r="M43" s="14"/>
    </row>
    <row r="44" spans="1:13" ht="15.75" x14ac:dyDescent="0.2">
      <c r="A44" s="14"/>
      <c r="B44" s="14"/>
      <c r="C44" s="14"/>
      <c r="D44" s="14"/>
      <c r="E44" s="14"/>
      <c r="F44" s="14"/>
      <c r="G44" s="14"/>
      <c r="H44" s="14"/>
      <c r="I44" s="14"/>
      <c r="J44" s="14"/>
      <c r="K44" s="14"/>
      <c r="L44" s="14"/>
      <c r="M44" s="14"/>
    </row>
    <row r="45" spans="1:13" ht="15.75" x14ac:dyDescent="0.2">
      <c r="A45" s="14"/>
      <c r="B45" s="14"/>
      <c r="C45" s="14"/>
      <c r="D45" s="14"/>
      <c r="E45" s="14"/>
      <c r="F45" s="14"/>
      <c r="G45" s="14"/>
      <c r="H45" s="14"/>
      <c r="I45" s="14"/>
      <c r="J45" s="14"/>
      <c r="K45" s="14"/>
      <c r="L45" s="14"/>
      <c r="M45" s="14"/>
    </row>
    <row r="46" spans="1:13" ht="15.75" x14ac:dyDescent="0.2">
      <c r="A46" s="14"/>
      <c r="B46" s="14"/>
      <c r="C46" s="14"/>
      <c r="D46" s="14"/>
      <c r="E46" s="14"/>
      <c r="F46" s="14"/>
      <c r="G46" s="14"/>
      <c r="H46" s="14"/>
      <c r="I46" s="14"/>
      <c r="J46" s="14"/>
      <c r="K46" s="14"/>
      <c r="L46" s="14"/>
      <c r="M46" s="14"/>
    </row>
    <row r="47" spans="1:13" ht="15.75" x14ac:dyDescent="0.2">
      <c r="A47" s="14"/>
      <c r="B47" s="14"/>
      <c r="C47" s="14"/>
      <c r="D47" s="14"/>
      <c r="E47" s="14"/>
      <c r="F47" s="14"/>
      <c r="G47" s="14"/>
      <c r="H47" s="14"/>
      <c r="I47" s="14"/>
      <c r="J47" s="14"/>
      <c r="K47" s="14"/>
      <c r="L47" s="14"/>
      <c r="M47" s="14"/>
    </row>
    <row r="48" spans="1:13" ht="15.75" x14ac:dyDescent="0.2">
      <c r="A48" s="14"/>
      <c r="B48" s="14"/>
      <c r="C48" s="14"/>
      <c r="D48" s="14"/>
      <c r="E48" s="14"/>
      <c r="F48" s="14"/>
      <c r="G48" s="14"/>
      <c r="H48" s="14"/>
      <c r="I48" s="14"/>
      <c r="J48" s="14"/>
      <c r="K48" s="14"/>
      <c r="L48" s="14"/>
      <c r="M48" s="14"/>
    </row>
  </sheetData>
  <sheetProtection password="8BE7" sheet="1" objects="1" scenarios="1"/>
  <mergeCells count="32">
    <mergeCell ref="A4:L4"/>
    <mergeCell ref="A5:L5"/>
    <mergeCell ref="A9:B9"/>
    <mergeCell ref="C9:F9"/>
    <mergeCell ref="C10:F10"/>
    <mergeCell ref="J9:L9"/>
    <mergeCell ref="A6:L6"/>
    <mergeCell ref="A30:D30"/>
    <mergeCell ref="A32:D32"/>
    <mergeCell ref="G32:L32"/>
    <mergeCell ref="A34:D34"/>
    <mergeCell ref="C19:F19"/>
    <mergeCell ref="A28:L28"/>
    <mergeCell ref="A26:L26"/>
    <mergeCell ref="A21:B21"/>
    <mergeCell ref="C21:F21"/>
    <mergeCell ref="J21:L21"/>
    <mergeCell ref="G33:L33"/>
    <mergeCell ref="A16:B16"/>
    <mergeCell ref="C16:F16"/>
    <mergeCell ref="J18:L18"/>
    <mergeCell ref="A23:L23"/>
    <mergeCell ref="C22:D22"/>
    <mergeCell ref="E22:F22"/>
    <mergeCell ref="A18:B18"/>
    <mergeCell ref="C18:F18"/>
    <mergeCell ref="J15:L15"/>
    <mergeCell ref="C13:F13"/>
    <mergeCell ref="A15:B15"/>
    <mergeCell ref="C12:F12"/>
    <mergeCell ref="A12:B12"/>
    <mergeCell ref="C15:F15"/>
  </mergeCells>
  <conditionalFormatting sqref="G32:L33">
    <cfRule type="expression" dxfId="66" priority="2" stopIfTrue="1">
      <formula>$E$30&lt;45</formula>
    </cfRule>
  </conditionalFormatting>
  <conditionalFormatting sqref="E32">
    <cfRule type="expression" dxfId="65" priority="1" stopIfTrue="1">
      <formula>$E$30&lt;45</formula>
    </cfRule>
  </conditionalFormatting>
  <hyperlinks>
    <hyperlink ref="A23:G23" location="'Calculation Sheet'!A1" display="Insert  Data"/>
    <hyperlink ref="A23:L23" location="'Protected Areas'!A1" display="Insert  Data"/>
  </hyperlinks>
  <printOptions horizontalCentered="1"/>
  <pageMargins left="0.5" right="0.5" top="0.5" bottom="0.5" header="0.5" footer="0.3"/>
  <pageSetup scale="84" orientation="portrait" horizontalDpi="300" verticalDpi="300" r:id="rId1"/>
  <headerFooter alignWithMargins="0">
    <oddHeader>&amp;L&amp;G</oddHeader>
    <oddFooter>&amp;L&amp;"+,Regular"&amp;8Tel  : +98 ( 21 ) 4420 1601
&amp;K00+000Tel  &amp;K000000: +98 ( 21 ) 4420 1768
Fax : +98 ( 21 ) 4420 1934&amp;C&amp;"+,Regular"&amp;8-  1  -&amp;R&amp;"+,Regular"&amp;8Design by Ali Cheraghi
( BSEE )</oddFoot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0"/>
    <pageSetUpPr fitToPage="1"/>
  </sheetPr>
  <dimension ref="A1:W88"/>
  <sheetViews>
    <sheetView showGridLines="0" view="pageBreakPreview" zoomScaleNormal="100" zoomScaleSheetLayoutView="100" workbookViewId="0">
      <pane ySplit="8" topLeftCell="A63" activePane="bottomLeft" state="frozen"/>
      <selection pane="bottomLeft" activeCell="D76" sqref="D76:E76"/>
    </sheetView>
  </sheetViews>
  <sheetFormatPr defaultColWidth="9.140625" defaultRowHeight="12.75" x14ac:dyDescent="0.2"/>
  <cols>
    <col min="1" max="1" width="6.7109375" style="44" customWidth="1"/>
    <col min="2" max="2" width="9.140625" style="44"/>
    <col min="3" max="3" width="10.28515625" style="44" bestFit="1" customWidth="1"/>
    <col min="4" max="4" width="5.7109375" style="44" customWidth="1"/>
    <col min="5" max="7" width="7.7109375" style="44" customWidth="1"/>
    <col min="8" max="8" width="10.7109375" style="44" customWidth="1"/>
    <col min="9" max="9" width="7.7109375" style="44" customWidth="1"/>
    <col min="10" max="10" width="10.7109375" style="44" customWidth="1"/>
    <col min="11" max="11" width="15.7109375" style="44" customWidth="1"/>
    <col min="12" max="12" width="12.7109375" style="44" customWidth="1"/>
    <col min="13" max="13" width="14.7109375" style="44" customWidth="1"/>
    <col min="14" max="14" width="9.7109375" style="44" customWidth="1"/>
    <col min="15" max="15" width="10.7109375" style="119" customWidth="1"/>
    <col min="16" max="16" width="10.7109375" style="44" customWidth="1"/>
    <col min="17" max="17" width="9.140625" style="44"/>
    <col min="18" max="19" width="9.140625" style="45"/>
    <col min="20" max="16384" width="9.140625" style="44"/>
  </cols>
  <sheetData>
    <row r="1" spans="1:21" s="119" customFormat="1" ht="9.9499999999999993" customHeight="1" x14ac:dyDescent="0.15">
      <c r="A1" s="13"/>
      <c r="B1" s="13"/>
      <c r="C1" s="13"/>
      <c r="D1" s="13"/>
      <c r="E1" s="13"/>
      <c r="F1" s="13"/>
      <c r="G1" s="13"/>
      <c r="H1" s="13"/>
      <c r="I1" s="13"/>
      <c r="J1" s="13"/>
      <c r="K1" s="13"/>
      <c r="O1" s="199" t="s">
        <v>240</v>
      </c>
      <c r="P1" s="199" t="str">
        <f>Summary!L1</f>
        <v>1396/05/28</v>
      </c>
    </row>
    <row r="2" spans="1:21" s="119" customFormat="1" ht="9.9499999999999993" customHeight="1" x14ac:dyDescent="0.15">
      <c r="A2" s="13"/>
      <c r="B2" s="13"/>
      <c r="C2" s="13"/>
      <c r="D2" s="13"/>
      <c r="E2" s="13"/>
      <c r="F2" s="13"/>
      <c r="G2" s="13"/>
      <c r="H2" s="13"/>
      <c r="I2" s="13"/>
      <c r="J2" s="13"/>
      <c r="K2" s="13"/>
      <c r="O2" s="199" t="s">
        <v>241</v>
      </c>
      <c r="P2" s="199">
        <f>Summary!L2</f>
        <v>26.8</v>
      </c>
    </row>
    <row r="3" spans="1:21" s="119" customFormat="1" ht="9.9499999999999993" customHeight="1" x14ac:dyDescent="0.15">
      <c r="A3" s="13"/>
      <c r="B3" s="13"/>
      <c r="C3" s="13"/>
      <c r="D3" s="13"/>
      <c r="E3" s="13"/>
      <c r="F3" s="13"/>
      <c r="G3" s="13"/>
      <c r="H3" s="13"/>
      <c r="I3" s="13"/>
      <c r="J3" s="13"/>
      <c r="K3" s="13"/>
      <c r="O3" s="337" t="s">
        <v>242</v>
      </c>
      <c r="P3" s="337"/>
    </row>
    <row r="4" spans="1:21" s="1" customFormat="1" ht="30" customHeight="1" x14ac:dyDescent="0.2">
      <c r="A4" s="270" t="s">
        <v>153</v>
      </c>
      <c r="B4" s="270"/>
      <c r="C4" s="270"/>
      <c r="D4" s="270"/>
      <c r="E4" s="270"/>
      <c r="F4" s="270"/>
      <c r="G4" s="270"/>
      <c r="H4" s="270"/>
      <c r="I4" s="270"/>
      <c r="J4" s="270"/>
      <c r="K4" s="270"/>
      <c r="L4" s="270"/>
      <c r="M4" s="270"/>
      <c r="N4" s="270"/>
      <c r="O4" s="270"/>
      <c r="P4" s="270"/>
      <c r="Q4" s="74"/>
      <c r="R4" s="338" t="s">
        <v>247</v>
      </c>
      <c r="S4" s="338"/>
      <c r="T4" s="338"/>
      <c r="U4" s="338"/>
    </row>
    <row r="5" spans="1:21" s="1" customFormat="1" ht="20.100000000000001" customHeight="1" x14ac:dyDescent="0.2">
      <c r="A5" s="340" t="s">
        <v>88</v>
      </c>
      <c r="B5" s="340"/>
      <c r="C5" s="340"/>
      <c r="D5" s="340"/>
      <c r="E5" s="340"/>
      <c r="F5" s="340"/>
      <c r="G5" s="340"/>
      <c r="H5" s="340"/>
      <c r="I5" s="340"/>
      <c r="J5" s="340"/>
      <c r="K5" s="340"/>
      <c r="L5" s="340"/>
      <c r="M5" s="340"/>
      <c r="N5" s="340"/>
      <c r="O5" s="340"/>
      <c r="P5" s="340"/>
      <c r="Q5" s="75"/>
      <c r="R5" s="338" t="s">
        <v>248</v>
      </c>
      <c r="S5" s="338"/>
      <c r="T5" s="338"/>
      <c r="U5" s="338"/>
    </row>
    <row r="6" spans="1:21" s="135" customFormat="1" ht="35.1" customHeight="1" x14ac:dyDescent="0.2">
      <c r="A6" s="341" t="str">
        <f>Project.Name</f>
        <v>Insert Project Name Sample</v>
      </c>
      <c r="B6" s="341"/>
      <c r="C6" s="341"/>
      <c r="D6" s="341"/>
      <c r="E6" s="341"/>
      <c r="F6" s="341"/>
      <c r="G6" s="341"/>
      <c r="H6" s="341"/>
      <c r="I6" s="341"/>
      <c r="J6" s="341"/>
      <c r="K6" s="341"/>
      <c r="L6" s="341"/>
      <c r="M6" s="341"/>
      <c r="N6" s="341"/>
      <c r="O6" s="341"/>
      <c r="P6" s="341"/>
      <c r="Q6" s="134"/>
      <c r="R6" s="211"/>
      <c r="S6" s="212"/>
      <c r="T6" s="212"/>
      <c r="U6" s="212"/>
    </row>
    <row r="10" spans="1:21" ht="17.100000000000001" customHeight="1" x14ac:dyDescent="0.2">
      <c r="A10" s="298" t="s">
        <v>123</v>
      </c>
      <c r="B10" s="298"/>
      <c r="C10" s="298"/>
      <c r="D10" s="307" t="s">
        <v>115</v>
      </c>
      <c r="E10" s="307"/>
      <c r="H10" s="339" t="str">
        <f>IF(OR(CO2_Standards="NFPA 12",CO2_Standards="bs 5306 - 4"),"","Other Standards (Vds 2093 &amp; ISO 6183) Calculation Procedure are under construction")</f>
        <v/>
      </c>
      <c r="I10" s="339"/>
      <c r="J10" s="339"/>
      <c r="K10" s="339"/>
      <c r="L10" s="339"/>
      <c r="M10" s="339"/>
      <c r="N10" s="339"/>
    </row>
    <row r="11" spans="1:21" ht="24.95" customHeight="1" x14ac:dyDescent="0.2">
      <c r="D11" s="233"/>
    </row>
    <row r="12" spans="1:21" ht="17.100000000000001" customHeight="1" x14ac:dyDescent="0.2">
      <c r="A12" s="302" t="s">
        <v>124</v>
      </c>
      <c r="B12" s="303"/>
      <c r="C12" s="303"/>
      <c r="D12" s="308" t="s">
        <v>114</v>
      </c>
      <c r="E12" s="309"/>
      <c r="H12" s="346" t="str">
        <f>IF(D12="deep seated","NFPA 12, 5.2.3: Deep-seated fires involving solids subject to smoldering",IF(D12="surface fire","NFPA 12, 5.2.3: Surface fires involving flammable liquids, gases, and solids",""))</f>
        <v>NFPA 12, 5.2.3: Deep-seated fires involving solids subject to smoldering</v>
      </c>
      <c r="I12" s="346"/>
      <c r="J12" s="346"/>
      <c r="K12" s="346"/>
      <c r="L12" s="346"/>
      <c r="M12" s="346"/>
      <c r="N12" s="49"/>
      <c r="O12" s="49"/>
    </row>
    <row r="13" spans="1:21" ht="24.95" customHeight="1" x14ac:dyDescent="0.2">
      <c r="D13" s="227">
        <f>IF(D12="deep seated",1,IF(D12="surface fire",2,0))</f>
        <v>1</v>
      </c>
      <c r="H13" s="49"/>
      <c r="I13" s="49"/>
      <c r="J13" s="49"/>
      <c r="K13" s="49"/>
      <c r="L13" s="49"/>
      <c r="M13" s="49"/>
      <c r="N13" s="49"/>
      <c r="O13" s="49"/>
    </row>
    <row r="14" spans="1:21" ht="17.100000000000001" customHeight="1" x14ac:dyDescent="0.2">
      <c r="A14" s="298" t="s">
        <v>105</v>
      </c>
      <c r="B14" s="298"/>
      <c r="C14" s="298"/>
      <c r="D14" s="280" t="s">
        <v>218</v>
      </c>
      <c r="E14" s="281"/>
      <c r="F14" s="282"/>
      <c r="H14" s="277" t="str">
        <f>IF(Fire_Type=1,"NFPA 12, 5.5.2.3: For deep-seated fires, the design concentration shall be achieved within 7 minutes, but the rate shall be not less than that required to develop a concentration of 30 percent in 2 minutes. (30% = 0,67 kg/m³) (also BS 5306-4, 10.6.1).",IF(Fire_Type=2,"NFPA 12: 5.5.2.1: For surface fires, the design concentration shall be achieved within 1 minute from start of discharge. (also BS 5306-4, 10.6.1)",""))</f>
        <v>NFPA 12, 5.5.2.3: For deep-seated fires, the design concentration shall be achieved within 7 minutes, but the rate shall be not less than that required to develop a concentration of 30 percent in 2 minutes. (30% = 0,67 kg/m³) (also BS 5306-4, 10.6.1).</v>
      </c>
      <c r="I14" s="277"/>
      <c r="J14" s="277"/>
      <c r="K14" s="277"/>
      <c r="L14" s="277"/>
      <c r="M14" s="277"/>
      <c r="N14" s="277"/>
      <c r="O14" s="277"/>
      <c r="P14" s="277"/>
    </row>
    <row r="15" spans="1:21" ht="15" customHeight="1" x14ac:dyDescent="0.2">
      <c r="D15" s="227">
        <f>IF(AND(Fire_Type=1,D14="7 min. (30% in 2 min.)"),1,0)</f>
        <v>1</v>
      </c>
      <c r="E15" s="227">
        <f>IF(AND(Fire_Type=2,D14="1 min."),1,0)</f>
        <v>0</v>
      </c>
      <c r="H15" s="277"/>
      <c r="I15" s="277"/>
      <c r="J15" s="277"/>
      <c r="K15" s="277"/>
      <c r="L15" s="277"/>
      <c r="M15" s="277"/>
      <c r="N15" s="277"/>
      <c r="O15" s="277"/>
      <c r="P15" s="277"/>
    </row>
    <row r="16" spans="1:21" ht="12" customHeight="1" x14ac:dyDescent="0.2">
      <c r="H16" s="277"/>
      <c r="I16" s="277"/>
      <c r="J16" s="277"/>
      <c r="K16" s="277"/>
      <c r="L16" s="277"/>
      <c r="M16" s="277"/>
      <c r="N16" s="277"/>
      <c r="O16" s="277"/>
      <c r="P16" s="277"/>
    </row>
    <row r="17" spans="1:21" ht="17.100000000000001" customHeight="1" x14ac:dyDescent="0.2">
      <c r="A17" s="298" t="s">
        <v>80</v>
      </c>
      <c r="B17" s="298"/>
      <c r="C17" s="298"/>
      <c r="D17" s="299">
        <v>50</v>
      </c>
      <c r="E17" s="299"/>
      <c r="F17" s="44" t="s">
        <v>29</v>
      </c>
      <c r="K17" s="119"/>
      <c r="L17" s="119"/>
      <c r="M17" s="119"/>
      <c r="N17" s="119"/>
      <c r="P17" s="119"/>
    </row>
    <row r="18" spans="1:21" ht="12" customHeight="1" x14ac:dyDescent="0.2">
      <c r="H18" s="119"/>
      <c r="I18" s="119"/>
      <c r="J18" s="119"/>
      <c r="K18" s="119"/>
      <c r="L18" s="119"/>
      <c r="M18" s="119"/>
      <c r="N18" s="119"/>
      <c r="P18" s="119"/>
      <c r="Q18" s="300"/>
      <c r="R18" s="301"/>
    </row>
    <row r="19" spans="1:21" ht="17.100000000000001" customHeight="1" x14ac:dyDescent="0.2">
      <c r="A19" s="298" t="s">
        <v>159</v>
      </c>
      <c r="B19" s="298"/>
      <c r="C19" s="298"/>
      <c r="D19" s="310">
        <v>1.33</v>
      </c>
      <c r="E19" s="310"/>
      <c r="F19" s="284" t="s">
        <v>188</v>
      </c>
      <c r="G19" s="285"/>
      <c r="H19" s="119"/>
      <c r="I19" s="119"/>
      <c r="J19" s="119"/>
      <c r="L19" s="305" t="s">
        <v>159</v>
      </c>
      <c r="M19" s="306"/>
      <c r="N19" s="108">
        <f>S.F._F.F</f>
        <v>0</v>
      </c>
      <c r="O19" s="130" t="s">
        <v>188</v>
      </c>
      <c r="P19" s="131"/>
    </row>
    <row r="20" spans="1:21" s="55" customFormat="1" ht="17.100000000000001" customHeight="1" x14ac:dyDescent="0.2">
      <c r="A20" s="89"/>
      <c r="B20" s="89"/>
      <c r="C20" s="89"/>
      <c r="D20" s="87"/>
      <c r="E20" s="87"/>
      <c r="F20" s="54"/>
      <c r="G20" s="54"/>
      <c r="H20" s="119"/>
      <c r="I20" s="119"/>
      <c r="J20" s="119"/>
      <c r="K20" s="119"/>
      <c r="L20" s="119"/>
      <c r="M20" s="119"/>
      <c r="N20" s="119"/>
      <c r="O20" s="119"/>
      <c r="P20" s="119"/>
    </row>
    <row r="22" spans="1:21" ht="17.100000000000001" customHeight="1" x14ac:dyDescent="0.2">
      <c r="A22" s="302" t="s">
        <v>113</v>
      </c>
      <c r="B22" s="303"/>
      <c r="C22" s="304"/>
      <c r="D22" s="286">
        <v>3</v>
      </c>
      <c r="E22" s="287"/>
      <c r="M22" s="305" t="s">
        <v>106</v>
      </c>
      <c r="N22" s="306"/>
      <c r="O22" s="48">
        <f>IF(Number_of_Enclosures=1,Total.Volume.1,IF(Number_of_Enclosures=2,Total.Volume.1+Total.Volume.2,IF(Number_of_Enclosures=3,Total.Volume.1+Total.Volume.2+Total.Volume.3,IF(Number_of_Enclosures=4,Total.Volume.1+Total.Volume.2+Total.Volume.3+Total.Volume.4,IF(Number_of_Enclosures=5,Total.Volume.1+Total.Volume.2+Total.Volume.3+Total.Volume.4+Total.Volume.5,0)))))</f>
        <v>2100</v>
      </c>
      <c r="P22" s="109" t="s">
        <v>127</v>
      </c>
    </row>
    <row r="23" spans="1:21" ht="15.75" x14ac:dyDescent="0.2">
      <c r="L23" s="36"/>
      <c r="M23" s="36"/>
      <c r="N23" s="36"/>
      <c r="O23" s="36"/>
      <c r="T23" s="296"/>
      <c r="U23" s="296"/>
    </row>
    <row r="24" spans="1:21" ht="14.25" x14ac:dyDescent="0.2">
      <c r="T24" s="297"/>
      <c r="U24" s="297"/>
    </row>
    <row r="25" spans="1:21" ht="26.1" customHeight="1" x14ac:dyDescent="0.2">
      <c r="A25" s="278" t="s">
        <v>120</v>
      </c>
      <c r="B25" s="311" t="s">
        <v>121</v>
      </c>
      <c r="C25" s="312"/>
      <c r="D25" s="313"/>
      <c r="E25" s="305" t="s">
        <v>272</v>
      </c>
      <c r="F25" s="320"/>
      <c r="G25" s="306"/>
      <c r="H25" s="278" t="s">
        <v>283</v>
      </c>
      <c r="I25" s="278" t="s">
        <v>273</v>
      </c>
      <c r="J25" s="278" t="s">
        <v>274</v>
      </c>
      <c r="K25" s="278" t="s">
        <v>122</v>
      </c>
      <c r="L25" s="278" t="s">
        <v>282</v>
      </c>
      <c r="M25" s="457" t="s">
        <v>271</v>
      </c>
      <c r="N25" s="278" t="s">
        <v>81</v>
      </c>
      <c r="O25" s="278" t="s">
        <v>139</v>
      </c>
      <c r="P25" s="278" t="s">
        <v>208</v>
      </c>
      <c r="T25" s="55"/>
      <c r="U25" s="55"/>
    </row>
    <row r="26" spans="1:21" x14ac:dyDescent="0.2">
      <c r="A26" s="293"/>
      <c r="B26" s="314"/>
      <c r="C26" s="315"/>
      <c r="D26" s="316"/>
      <c r="E26" s="456" t="s">
        <v>28</v>
      </c>
      <c r="F26" s="456" t="s">
        <v>0</v>
      </c>
      <c r="G26" s="456" t="s">
        <v>1</v>
      </c>
      <c r="H26" s="279"/>
      <c r="I26" s="279"/>
      <c r="J26" s="279"/>
      <c r="K26" s="279"/>
      <c r="L26" s="279"/>
      <c r="M26" s="458"/>
      <c r="N26" s="279"/>
      <c r="O26" s="279"/>
      <c r="P26" s="279"/>
    </row>
    <row r="27" spans="1:21" ht="15" x14ac:dyDescent="0.2">
      <c r="A27" s="279"/>
      <c r="B27" s="317"/>
      <c r="C27" s="318"/>
      <c r="D27" s="319"/>
      <c r="E27" s="53" t="s">
        <v>26</v>
      </c>
      <c r="F27" s="53" t="s">
        <v>26</v>
      </c>
      <c r="G27" s="53" t="s">
        <v>26</v>
      </c>
      <c r="H27" s="53" t="s">
        <v>195</v>
      </c>
      <c r="I27" s="53" t="s">
        <v>195</v>
      </c>
      <c r="J27" s="53" t="s">
        <v>196</v>
      </c>
      <c r="K27" s="53" t="s">
        <v>196</v>
      </c>
      <c r="L27" s="53" t="s">
        <v>196</v>
      </c>
      <c r="M27" s="53" t="s">
        <v>29</v>
      </c>
      <c r="N27" s="53" t="s">
        <v>197</v>
      </c>
      <c r="O27" s="53" t="s">
        <v>140</v>
      </c>
      <c r="P27" s="53" t="s">
        <v>140</v>
      </c>
    </row>
    <row r="28" spans="1:21" ht="35.1" customHeight="1" x14ac:dyDescent="0.2">
      <c r="A28" s="224">
        <v>1</v>
      </c>
      <c r="B28" s="292" t="s">
        <v>266</v>
      </c>
      <c r="C28" s="292"/>
      <c r="D28" s="292"/>
      <c r="E28" s="47">
        <v>30</v>
      </c>
      <c r="F28" s="47">
        <v>10</v>
      </c>
      <c r="G28" s="47">
        <v>5</v>
      </c>
      <c r="H28" s="48">
        <f>IF(Number_of_Enclosures&gt;=1,2*((E28*F28)+(E28*G28)+(F28*G28)),0)</f>
        <v>1000</v>
      </c>
      <c r="I28" s="48">
        <f>IF(Number_of_Enclosures&gt;=1,E28*F28,0)</f>
        <v>300</v>
      </c>
      <c r="J28" s="48">
        <f>IF(Number_of_Enclosures&gt;=1,E28*F28*G28,0)</f>
        <v>1500</v>
      </c>
      <c r="K28" s="47">
        <v>75</v>
      </c>
      <c r="L28" s="48">
        <f>J28-K28</f>
        <v>1425</v>
      </c>
      <c r="M28" s="171">
        <f>IF(Number_of_Enclosures&gt;=1,(Total.Volume.1/Total.Volume),0)</f>
        <v>0.6785714285714286</v>
      </c>
      <c r="N28" s="177">
        <f>IF(Fire_Type=2,S.F._F.F.1,IF(Fire_Type=1,D19,0))</f>
        <v>1.33</v>
      </c>
      <c r="O28" s="48">
        <f>IF(Fire_Type=1,Total.Volume.1*N28,IF(AND(Fire_Type=2),Total.Volume.1*N28,0))</f>
        <v>1895.25</v>
      </c>
      <c r="P28" s="48">
        <f>Total_Agent*Volume_01_percent</f>
        <v>1895.25</v>
      </c>
      <c r="R28" s="119"/>
    </row>
    <row r="29" spans="1:21" ht="35.1" customHeight="1" x14ac:dyDescent="0.2">
      <c r="A29" s="224">
        <v>2</v>
      </c>
      <c r="B29" s="292" t="s">
        <v>267</v>
      </c>
      <c r="C29" s="292"/>
      <c r="D29" s="292"/>
      <c r="E29" s="47">
        <v>5</v>
      </c>
      <c r="F29" s="47">
        <v>3</v>
      </c>
      <c r="G29" s="47">
        <v>5</v>
      </c>
      <c r="H29" s="48">
        <f>IF(Number_of_Enclosures&gt;=2,2*((E29*F29)+(E29*G29)+(F29*G29)),0)</f>
        <v>110</v>
      </c>
      <c r="I29" s="48">
        <f>IF(Number_of_Enclosures&gt;=2,E29*F29,0)</f>
        <v>15</v>
      </c>
      <c r="J29" s="48">
        <f>IF(Number_of_Enclosures&gt;=2,E29*F29*G29,0)</f>
        <v>75</v>
      </c>
      <c r="K29" s="47">
        <v>0</v>
      </c>
      <c r="L29" s="48">
        <f t="shared" ref="L29:L30" si="0">J29-K29</f>
        <v>75</v>
      </c>
      <c r="M29" s="171">
        <f>IF(Number_of_Enclosures&gt;=2,(Total.Volume.2/Total.Volume),0)</f>
        <v>3.5714285714285712E-2</v>
      </c>
      <c r="N29" s="177">
        <f>IF(Fire_Type=2,S.F._F.F.2,IF(Fire_Type=1,D19,0))</f>
        <v>1.33</v>
      </c>
      <c r="O29" s="48">
        <f>IF(Fire_Type=1,Total.Volume.2*N29,IF(AND(Fire_Type=2),Total.Volume.2*N29,0))</f>
        <v>99.75</v>
      </c>
      <c r="P29" s="48">
        <f>Total_Agent*Volume_02_percent</f>
        <v>99.75</v>
      </c>
      <c r="R29" s="119"/>
    </row>
    <row r="30" spans="1:21" ht="35.1" customHeight="1" x14ac:dyDescent="0.2">
      <c r="A30" s="224">
        <v>3</v>
      </c>
      <c r="B30" s="292" t="s">
        <v>268</v>
      </c>
      <c r="C30" s="292"/>
      <c r="D30" s="292"/>
      <c r="E30" s="47">
        <v>30</v>
      </c>
      <c r="F30" s="47">
        <v>10</v>
      </c>
      <c r="G30" s="47">
        <v>2</v>
      </c>
      <c r="H30" s="48">
        <f>IF(Number_of_Enclosures&gt;=3,2*((E30*F30)+(E30*G30)+(F30*G30)),0)</f>
        <v>760</v>
      </c>
      <c r="I30" s="48">
        <f>IF(Number_of_Enclosures&gt;=3,E30*F30,0)</f>
        <v>300</v>
      </c>
      <c r="J30" s="48">
        <f>IF(Number_of_Enclosures&gt;=3,E30*F30*G30,0)</f>
        <v>600</v>
      </c>
      <c r="K30" s="47">
        <v>0</v>
      </c>
      <c r="L30" s="48">
        <f t="shared" si="0"/>
        <v>600</v>
      </c>
      <c r="M30" s="171">
        <f>IF(Number_of_Enclosures&gt;=3,(Total.Volume.3/Total.Volume),0)</f>
        <v>0.2857142857142857</v>
      </c>
      <c r="N30" s="177">
        <f>IF(Fire_Type=2,S.F._F.F.3,IF(Fire_Type=1,D19,0))</f>
        <v>1.33</v>
      </c>
      <c r="O30" s="48">
        <f>IF(Fire_Type=1,Total.Volume.3*N30,IF(AND(Fire_Type=2),Total.Volume.3*N30,0))</f>
        <v>798</v>
      </c>
      <c r="P30" s="48">
        <f>Total_Agent*Volume_03_percent</f>
        <v>798</v>
      </c>
      <c r="R30" s="119"/>
    </row>
    <row r="31" spans="1:21" ht="35.1" customHeight="1" x14ac:dyDescent="0.2">
      <c r="A31" s="224"/>
      <c r="B31" s="292"/>
      <c r="C31" s="292"/>
      <c r="D31" s="292"/>
      <c r="E31" s="47"/>
      <c r="F31" s="47"/>
      <c r="G31" s="47"/>
      <c r="H31" s="48">
        <f>IF(Number_of_Enclosures&gt;=4,2*((E31*F31)+(E31*G31)+(F31*G31)),0)</f>
        <v>0</v>
      </c>
      <c r="I31" s="48">
        <f>IF(Number_of_Enclosures&gt;=4,E31*F31,0)</f>
        <v>0</v>
      </c>
      <c r="J31" s="48">
        <f>IF(Number_of_Enclosures&gt;=4,E31*F31*G31,0)</f>
        <v>0</v>
      </c>
      <c r="K31" s="47">
        <v>0</v>
      </c>
      <c r="L31" s="48">
        <f t="shared" ref="L31:L32" si="1">J31-K31</f>
        <v>0</v>
      </c>
      <c r="M31" s="171">
        <f>IF(Number_of_Enclosures&gt;=4,(Total.Volume.4/Total.Volume),0)</f>
        <v>0</v>
      </c>
      <c r="N31" s="177">
        <f>IF(Fire_Type=2,S.F._F.F.4,IF(Fire_Type=1,D19,0))</f>
        <v>1.33</v>
      </c>
      <c r="O31" s="48">
        <f>IF(Fire_Type=1,Total.Volume.4*N31,IF(AND(Fire_Type=2),Total.Volume.4*N31,0))</f>
        <v>0</v>
      </c>
      <c r="P31" s="48">
        <f>Total_Agent*Volume_04_percent</f>
        <v>0</v>
      </c>
      <c r="R31" s="119"/>
    </row>
    <row r="32" spans="1:21" ht="35.1" customHeight="1" x14ac:dyDescent="0.2">
      <c r="A32" s="224"/>
      <c r="B32" s="292"/>
      <c r="C32" s="292"/>
      <c r="D32" s="292"/>
      <c r="E32" s="47"/>
      <c r="F32" s="47"/>
      <c r="G32" s="47"/>
      <c r="H32" s="48">
        <f>IF(Number_of_Enclosures&gt;=5,2*((E32*F32)+(E32*G32)+(F32*G32)),0)</f>
        <v>0</v>
      </c>
      <c r="I32" s="48">
        <f>IF(Number_of_Enclosures&gt;=5,E32*F32,0)</f>
        <v>0</v>
      </c>
      <c r="J32" s="48">
        <f>IF(Number_of_Enclosures&gt;=5,E32*F32*G32,0)</f>
        <v>0</v>
      </c>
      <c r="K32" s="47">
        <v>0</v>
      </c>
      <c r="L32" s="48">
        <f t="shared" si="1"/>
        <v>0</v>
      </c>
      <c r="M32" s="171">
        <f>IF(Number_of_Enclosures&gt;=5,(Total.Volume.5/Total.Volume),0)</f>
        <v>0</v>
      </c>
      <c r="N32" s="177">
        <f>IF(Fire_Type=2,S.F._F.F.5,IF(Fire_Type=1,D19,0))</f>
        <v>1.33</v>
      </c>
      <c r="O32" s="48">
        <f>IF(Fire_Type=1,Total.Volume.5*N32,IF(AND(Fire_Type=2),Total.Volume.5*N32,0))</f>
        <v>0</v>
      </c>
      <c r="P32" s="48">
        <f>Total_Agent*Volume_05_percent</f>
        <v>0</v>
      </c>
      <c r="R32" s="119"/>
    </row>
    <row r="35" spans="1:18" ht="14.25" x14ac:dyDescent="0.2">
      <c r="G35" s="58"/>
      <c r="H35" s="58"/>
      <c r="I35" s="58"/>
      <c r="L35" s="58" t="s">
        <v>189</v>
      </c>
      <c r="M35" s="174" t="s">
        <v>156</v>
      </c>
      <c r="N35" s="175"/>
      <c r="O35" s="234">
        <f>SUM(O28:O32)</f>
        <v>2793</v>
      </c>
      <c r="P35" s="153" t="s">
        <v>140</v>
      </c>
    </row>
    <row r="36" spans="1:18" x14ac:dyDescent="0.2">
      <c r="G36" s="58"/>
      <c r="H36" s="58"/>
      <c r="I36" s="58"/>
      <c r="K36" s="58"/>
      <c r="L36" s="161"/>
      <c r="M36" s="161"/>
      <c r="N36" s="161"/>
      <c r="O36" s="161"/>
      <c r="P36" s="58"/>
    </row>
    <row r="37" spans="1:18" s="55" customFormat="1" ht="17.100000000000001" customHeight="1" x14ac:dyDescent="0.2">
      <c r="A37" s="335" t="s">
        <v>142</v>
      </c>
      <c r="B37" s="342"/>
      <c r="C37" s="336"/>
      <c r="D37" s="343" t="s">
        <v>22</v>
      </c>
      <c r="E37" s="344"/>
      <c r="F37" s="345"/>
      <c r="G37" s="21"/>
      <c r="M37" s="335" t="s">
        <v>204</v>
      </c>
      <c r="N37" s="336"/>
      <c r="O37" s="48">
        <f>'raw data'!L43</f>
        <v>34</v>
      </c>
      <c r="P37" s="153" t="s">
        <v>29</v>
      </c>
    </row>
    <row r="38" spans="1:18" s="55" customFormat="1" ht="12" customHeight="1" x14ac:dyDescent="0.2">
      <c r="A38" s="21"/>
      <c r="B38" s="21"/>
      <c r="C38" s="21"/>
      <c r="D38" s="331" t="s">
        <v>115</v>
      </c>
      <c r="E38" s="331"/>
      <c r="F38" s="329" t="s">
        <v>236</v>
      </c>
      <c r="G38" s="181"/>
      <c r="L38" s="119"/>
      <c r="M38" s="119"/>
      <c r="N38" s="119"/>
      <c r="O38" s="119"/>
    </row>
    <row r="39" spans="1:18" s="55" customFormat="1" ht="17.100000000000001" customHeight="1" x14ac:dyDescent="0.2">
      <c r="A39" s="89"/>
      <c r="B39" s="89"/>
      <c r="C39" s="128"/>
      <c r="D39" s="332"/>
      <c r="E39" s="332"/>
      <c r="F39" s="330"/>
      <c r="G39" s="182"/>
      <c r="M39" s="335" t="s">
        <v>158</v>
      </c>
      <c r="N39" s="336"/>
      <c r="O39" s="48">
        <f>IF(O37&lt;34,34,O37)</f>
        <v>34</v>
      </c>
      <c r="P39" s="153" t="s">
        <v>29</v>
      </c>
    </row>
    <row r="40" spans="1:18" s="55" customFormat="1" ht="17.100000000000001" customHeight="1" x14ac:dyDescent="0.2">
      <c r="A40" s="89"/>
      <c r="B40" s="89"/>
      <c r="C40" s="89"/>
      <c r="D40" s="106"/>
      <c r="E40" s="106"/>
      <c r="F40" s="54"/>
      <c r="G40" s="54"/>
      <c r="K40" s="88"/>
      <c r="L40" s="88"/>
      <c r="M40" s="88"/>
      <c r="N40" s="65"/>
      <c r="O40" s="125"/>
    </row>
    <row r="41" spans="1:18" s="55" customFormat="1" ht="20.100000000000001" customHeight="1" x14ac:dyDescent="0.2">
      <c r="A41" s="89"/>
      <c r="B41" s="89"/>
      <c r="C41" s="334" t="str">
        <f>IF(Fire_Type=2,"NFPA12, 5.3.2.1.2: In no case shall a concentration less than 34 percent be used. (surface fires)","")</f>
        <v/>
      </c>
      <c r="D41" s="334"/>
      <c r="E41" s="334"/>
      <c r="F41" s="334"/>
      <c r="G41" s="334"/>
      <c r="H41" s="334"/>
      <c r="I41" s="334"/>
      <c r="J41" s="334"/>
      <c r="K41" s="334"/>
      <c r="L41" s="334"/>
      <c r="M41" s="334"/>
      <c r="N41" s="334"/>
      <c r="O41" s="129"/>
    </row>
    <row r="42" spans="1:18" s="55" customFormat="1" x14ac:dyDescent="0.2">
      <c r="O42" s="119"/>
    </row>
    <row r="43" spans="1:18" s="55" customFormat="1" ht="17.100000000000001" customHeight="1" x14ac:dyDescent="0.2">
      <c r="A43" s="305" t="s">
        <v>51</v>
      </c>
      <c r="B43" s="320"/>
      <c r="C43" s="306"/>
      <c r="D43" s="226">
        <v>1</v>
      </c>
      <c r="E43" s="180">
        <f>IF(AND(CO2_Standards="bs 5306 - 4",D12="surface fire"),'raw data'!T29,0)</f>
        <v>0</v>
      </c>
      <c r="F43" s="130" t="s">
        <v>233</v>
      </c>
      <c r="G43" s="131"/>
      <c r="L43" s="113" t="s">
        <v>190</v>
      </c>
      <c r="M43" s="335" t="s">
        <v>192</v>
      </c>
      <c r="N43" s="336"/>
      <c r="O43" s="48">
        <f>IF(AND(CO2_Standards="bs 5306 - 4",Fire_Type=2,S.F._D.C&gt;34),Total_Agent_Basic*S.F._M.C.F.2,IF(AND(CO2_Standards="nfpa 12",Fire_Type=2,S.F._D.C&gt;34),Total_Agent_Basic*S.F._M.C.F.1,IF(AND(Fire_Type=2,S.F._D.C&lt;=34),Total_Agent_Basic*1,Total_Agent_Basic)))</f>
        <v>2793</v>
      </c>
      <c r="P43" s="109" t="s">
        <v>140</v>
      </c>
      <c r="R43" s="133"/>
    </row>
    <row r="44" spans="1:18" s="55" customFormat="1" x14ac:dyDescent="0.2">
      <c r="O44" s="119"/>
    </row>
    <row r="45" spans="1:18" s="55" customFormat="1" ht="20.100000000000001" customHeight="1" x14ac:dyDescent="0.2">
      <c r="A45" s="89"/>
      <c r="B45" s="89"/>
      <c r="C45" s="334" t="str">
        <f>IF(AND(Fire_Type=2,O37&lt;=34),"M.D.C=34%, thus Material Conversion Factor set Automatically on '1'",IF(AND(Fire_Type=2,O37&gt;34,CO2_Standards="nfpa 12"),"Material Conversion Factor Shall be selected Manually from FIGURE 5.3.4 (surface fires)",IF(AND(Fire_Type=2,O37&gt;34,CO2_Standards="BS 5306 - 4"),"Material Conversion Factor Inserted Automatically (surface fires)","")))</f>
        <v/>
      </c>
      <c r="D45" s="334"/>
      <c r="E45" s="334"/>
      <c r="F45" s="334"/>
      <c r="G45" s="334"/>
      <c r="H45" s="334"/>
      <c r="I45" s="334"/>
      <c r="J45" s="334"/>
      <c r="K45" s="334"/>
      <c r="L45" s="334"/>
      <c r="M45" s="334"/>
      <c r="N45" s="334"/>
      <c r="O45" s="129"/>
    </row>
    <row r="46" spans="1:18" s="55" customFormat="1" x14ac:dyDescent="0.2">
      <c r="G46" s="58"/>
      <c r="H46" s="58"/>
      <c r="I46" s="58"/>
      <c r="J46" s="58"/>
      <c r="K46" s="58"/>
      <c r="L46" s="58"/>
      <c r="M46" s="58"/>
      <c r="N46" s="58"/>
      <c r="O46" s="127"/>
      <c r="P46" s="58"/>
    </row>
    <row r="47" spans="1:18" s="55" customFormat="1" x14ac:dyDescent="0.2">
      <c r="G47" s="58"/>
      <c r="H47" s="58"/>
      <c r="I47" s="58"/>
      <c r="J47" s="58"/>
      <c r="K47" s="58"/>
      <c r="L47" s="58"/>
      <c r="M47" s="58"/>
      <c r="N47" s="58"/>
      <c r="O47" s="127"/>
      <c r="P47" s="58"/>
    </row>
    <row r="48" spans="1:18" s="55" customFormat="1" ht="17.100000000000001" customHeight="1" x14ac:dyDescent="0.2">
      <c r="A48" s="298" t="s">
        <v>182</v>
      </c>
      <c r="B48" s="298"/>
      <c r="C48" s="298"/>
      <c r="D48" s="326" t="s">
        <v>103</v>
      </c>
      <c r="E48" s="327"/>
      <c r="F48" s="56"/>
      <c r="G48" s="101">
        <f>IF(D48="yes",1,IF(D48="no",0))</f>
        <v>0</v>
      </c>
      <c r="H48" s="58"/>
      <c r="I48" s="58"/>
      <c r="J48" s="58"/>
      <c r="M48" s="323" t="s">
        <v>164</v>
      </c>
      <c r="N48" s="325"/>
      <c r="O48" s="48">
        <f>IF(G48=0,0,IF(G48=1,Leakage_Compensation))</f>
        <v>0</v>
      </c>
      <c r="P48" s="64" t="s">
        <v>140</v>
      </c>
    </row>
    <row r="49" spans="1:19" x14ac:dyDescent="0.2">
      <c r="G49" s="58"/>
      <c r="H49" s="58"/>
      <c r="I49" s="58"/>
      <c r="J49" s="58"/>
      <c r="K49" s="58"/>
      <c r="L49" s="58"/>
      <c r="M49" s="58"/>
      <c r="N49" s="58"/>
      <c r="O49" s="127"/>
      <c r="P49" s="58"/>
    </row>
    <row r="50" spans="1:19" s="119" customFormat="1" ht="17.100000000000001" customHeight="1" x14ac:dyDescent="0.2">
      <c r="B50" s="328" t="str">
        <f>IF(G48=1,"Unclosable Opening Leakage shall be compensated for by the addition of a quantity of carbon dioxide equal to the anticipated loss. - Insert Data Manually","")</f>
        <v/>
      </c>
      <c r="C50" s="328"/>
      <c r="D50" s="328"/>
      <c r="E50" s="328"/>
      <c r="F50" s="328"/>
      <c r="G50" s="328"/>
      <c r="H50" s="328"/>
      <c r="I50" s="328"/>
      <c r="J50" s="328"/>
      <c r="K50" s="328"/>
      <c r="L50" s="328"/>
      <c r="M50" s="328"/>
      <c r="N50" s="328"/>
      <c r="O50" s="328"/>
      <c r="P50" s="231"/>
    </row>
    <row r="51" spans="1:19" ht="30" customHeight="1" x14ac:dyDescent="0.2">
      <c r="B51" s="328" t="str">
        <f>IF(AND(G48=1,'Leakage Compensation'!S12=1),"NFPA 12 (2011 Edition), 4.4.3.3.1.4 The hazard shall be inspected closely for unclosable openings and sources of agent loss that could have been overlooked in the original specification.",IF(AND(G48=1,'Leakage Compensation'!S12=0),"WARNING !!!!
Leakage Compensation is more than Basic Quantity, System shall be designed on 'Local Application' Method",""))</f>
        <v/>
      </c>
      <c r="C51" s="328"/>
      <c r="D51" s="328"/>
      <c r="E51" s="328"/>
      <c r="F51" s="328"/>
      <c r="G51" s="328"/>
      <c r="H51" s="328"/>
      <c r="I51" s="328"/>
      <c r="J51" s="328"/>
      <c r="K51" s="328"/>
      <c r="L51" s="328"/>
      <c r="M51" s="328"/>
      <c r="N51" s="328"/>
      <c r="O51" s="328"/>
      <c r="P51" s="58"/>
    </row>
    <row r="52" spans="1:19" s="119" customFormat="1" ht="14.25" x14ac:dyDescent="0.2">
      <c r="B52" s="107"/>
      <c r="C52" s="107"/>
      <c r="D52" s="107"/>
      <c r="E52" s="107"/>
      <c r="F52" s="107"/>
      <c r="G52" s="107"/>
      <c r="H52" s="107"/>
      <c r="I52" s="107"/>
      <c r="J52" s="107"/>
      <c r="K52" s="107"/>
      <c r="L52" s="107"/>
      <c r="M52" s="107"/>
      <c r="N52" s="107"/>
      <c r="O52" s="126"/>
      <c r="P52" s="113"/>
    </row>
    <row r="53" spans="1:19" s="119" customFormat="1" ht="14.25" x14ac:dyDescent="0.2">
      <c r="B53" s="107"/>
      <c r="C53" s="107"/>
      <c r="D53" s="107"/>
      <c r="E53" s="107"/>
      <c r="F53" s="107"/>
      <c r="G53" s="107"/>
      <c r="H53" s="107"/>
      <c r="I53" s="107"/>
      <c r="L53" s="113" t="s">
        <v>191</v>
      </c>
      <c r="M53" s="335" t="s">
        <v>280</v>
      </c>
      <c r="N53" s="336"/>
      <c r="O53" s="48">
        <f>IF('Leakage Compensation'!S12=1,O43+O48,0)</f>
        <v>2793</v>
      </c>
      <c r="P53" s="109" t="s">
        <v>140</v>
      </c>
    </row>
    <row r="54" spans="1:19" s="55" customFormat="1" x14ac:dyDescent="0.2">
      <c r="G54" s="58"/>
      <c r="H54" s="58"/>
      <c r="I54" s="58"/>
      <c r="J54" s="58"/>
      <c r="K54" s="58"/>
      <c r="L54" s="58"/>
      <c r="M54" s="58"/>
      <c r="N54" s="58"/>
      <c r="O54" s="127"/>
      <c r="P54" s="58"/>
    </row>
    <row r="55" spans="1:19" s="55" customFormat="1" ht="17.100000000000001" customHeight="1" x14ac:dyDescent="0.2">
      <c r="A55" s="323" t="s">
        <v>185</v>
      </c>
      <c r="B55" s="324"/>
      <c r="C55" s="325"/>
      <c r="D55" s="326" t="s">
        <v>103</v>
      </c>
      <c r="E55" s="327"/>
      <c r="F55" s="56"/>
      <c r="G55" s="101">
        <f>IF(D55="yes",1,IF(D55="no",0))</f>
        <v>0</v>
      </c>
      <c r="H55" s="58"/>
      <c r="I55" s="58"/>
      <c r="J55" s="58"/>
      <c r="K55" s="58"/>
      <c r="L55" s="58"/>
      <c r="M55" s="58"/>
      <c r="N55" s="58"/>
      <c r="O55" s="127"/>
      <c r="P55" s="58"/>
    </row>
    <row r="56" spans="1:19" x14ac:dyDescent="0.2">
      <c r="G56" s="58"/>
      <c r="H56" s="58"/>
      <c r="I56" s="58"/>
      <c r="J56" s="58"/>
      <c r="K56" s="58"/>
      <c r="L56" s="58"/>
      <c r="M56" s="58"/>
      <c r="N56" s="58"/>
      <c r="O56" s="127"/>
      <c r="P56" s="58"/>
    </row>
    <row r="57" spans="1:19" s="55" customFormat="1" ht="15.75" x14ac:dyDescent="0.2">
      <c r="A57" s="323" t="s">
        <v>186</v>
      </c>
      <c r="B57" s="324"/>
      <c r="C57" s="325"/>
      <c r="D57" s="321">
        <v>0</v>
      </c>
      <c r="E57" s="322"/>
      <c r="F57" s="55" t="s">
        <v>187</v>
      </c>
      <c r="G57" s="58"/>
      <c r="H57" s="58"/>
      <c r="I57" s="58"/>
      <c r="J57" s="58"/>
      <c r="M57" s="323" t="s">
        <v>164</v>
      </c>
      <c r="N57" s="325"/>
      <c r="O57" s="48">
        <f>IF(AND(G55=1,Fire_Type=1),S58,IF(AND(G55=1,Fire_Type=2),S57,0))</f>
        <v>0</v>
      </c>
      <c r="P57" s="64" t="s">
        <v>140</v>
      </c>
      <c r="S57" s="225">
        <f>IF(Fire_Type=2,D57*S.F._F.F*S.F._M.C.F.1,0)</f>
        <v>0</v>
      </c>
    </row>
    <row r="58" spans="1:19" s="55" customFormat="1" ht="15.75" x14ac:dyDescent="0.2">
      <c r="A58" s="104"/>
      <c r="B58" s="104"/>
      <c r="C58" s="104"/>
      <c r="D58" s="105"/>
      <c r="E58" s="105"/>
      <c r="G58" s="58"/>
      <c r="H58" s="58"/>
      <c r="I58" s="58"/>
      <c r="J58" s="58"/>
      <c r="K58" s="58"/>
      <c r="L58" s="58"/>
      <c r="M58" s="58"/>
      <c r="N58" s="58"/>
      <c r="O58" s="127"/>
      <c r="P58" s="58"/>
      <c r="S58" s="225">
        <f>IF(Fire_Type=1,D57*D.S._F.F.)</f>
        <v>0</v>
      </c>
    </row>
    <row r="59" spans="1:19" ht="20.100000000000001" customHeight="1" x14ac:dyDescent="0.2">
      <c r="B59" s="334" t="str">
        <f>IF(G55=1,"NFPA 12, 5.3.5.2.1: Ventilation that cannot be shut down, Additional CO2 shall be added to the space through the regular distribution system","")</f>
        <v/>
      </c>
      <c r="C59" s="334"/>
      <c r="D59" s="334"/>
      <c r="E59" s="334"/>
      <c r="F59" s="334"/>
      <c r="G59" s="334"/>
      <c r="H59" s="334"/>
      <c r="I59" s="334"/>
      <c r="J59" s="334"/>
      <c r="K59" s="334"/>
      <c r="L59" s="334"/>
      <c r="M59" s="334"/>
      <c r="N59" s="334"/>
      <c r="O59" s="126"/>
      <c r="P59" s="58"/>
    </row>
    <row r="60" spans="1:19" s="119" customFormat="1" ht="14.25" x14ac:dyDescent="0.2">
      <c r="B60" s="107"/>
      <c r="C60" s="107"/>
      <c r="D60" s="107"/>
      <c r="E60" s="107"/>
      <c r="F60" s="107"/>
      <c r="G60" s="107"/>
      <c r="H60" s="107"/>
      <c r="I60" s="107"/>
      <c r="J60" s="107"/>
      <c r="K60" s="107"/>
      <c r="L60" s="107"/>
      <c r="M60" s="107"/>
      <c r="N60" s="107"/>
      <c r="O60" s="126"/>
      <c r="P60" s="113"/>
    </row>
    <row r="61" spans="1:19" s="119" customFormat="1" ht="14.25" x14ac:dyDescent="0.2">
      <c r="B61" s="107"/>
      <c r="C61" s="107"/>
      <c r="D61" s="107"/>
      <c r="E61" s="107"/>
      <c r="F61" s="107"/>
      <c r="G61" s="107"/>
      <c r="H61" s="107"/>
      <c r="I61" s="107"/>
      <c r="L61" s="113" t="s">
        <v>193</v>
      </c>
      <c r="M61" s="335" t="s">
        <v>279</v>
      </c>
      <c r="N61" s="336"/>
      <c r="O61" s="48">
        <f>O53+O57</f>
        <v>2793</v>
      </c>
      <c r="P61" s="109" t="s">
        <v>140</v>
      </c>
    </row>
    <row r="63" spans="1:19" s="45" customFormat="1" ht="17.100000000000001" customHeight="1" x14ac:dyDescent="0.2">
      <c r="A63" s="288" t="s">
        <v>163</v>
      </c>
      <c r="B63" s="289"/>
      <c r="C63" s="290"/>
      <c r="D63" s="291">
        <v>28</v>
      </c>
      <c r="E63" s="291"/>
      <c r="F63" s="57" t="s">
        <v>84</v>
      </c>
      <c r="G63" s="103">
        <f>IF(OR(Temp&lt;-18,Temp&gt;93),1,0)</f>
        <v>0</v>
      </c>
      <c r="H63" s="58"/>
      <c r="I63" s="58"/>
      <c r="J63" s="58"/>
      <c r="M63" s="323" t="s">
        <v>164</v>
      </c>
      <c r="N63" s="325"/>
      <c r="O63" s="48">
        <f>Temp_Compensate</f>
        <v>0</v>
      </c>
      <c r="P63" s="64" t="s">
        <v>140</v>
      </c>
    </row>
    <row r="64" spans="1:19" s="55" customFormat="1" x14ac:dyDescent="0.2">
      <c r="G64" s="58"/>
      <c r="H64" s="58"/>
      <c r="I64" s="58"/>
      <c r="J64" s="58"/>
      <c r="K64" s="58"/>
      <c r="L64" s="58"/>
      <c r="M64" s="58"/>
      <c r="N64" s="58"/>
      <c r="O64" s="127"/>
      <c r="P64" s="58"/>
    </row>
    <row r="65" spans="1:16" s="55" customFormat="1" ht="20.100000000000001" customHeight="1" x14ac:dyDescent="0.2">
      <c r="B65" s="334" t="str">
        <f>IF(G63=1," For applications where the normal temperature of the enclosure is above 93°C or below −18°C, additional CO2 shall be calculated","No temperature compensation required")</f>
        <v>No temperature compensation required</v>
      </c>
      <c r="C65" s="334"/>
      <c r="D65" s="334"/>
      <c r="E65" s="334"/>
      <c r="F65" s="334"/>
      <c r="G65" s="334"/>
      <c r="H65" s="334"/>
      <c r="I65" s="334"/>
      <c r="J65" s="334"/>
      <c r="K65" s="334"/>
      <c r="L65" s="334"/>
      <c r="M65" s="334"/>
      <c r="N65" s="334"/>
      <c r="O65" s="334"/>
      <c r="P65" s="58"/>
    </row>
    <row r="66" spans="1:16" s="119" customFormat="1" ht="14.25" x14ac:dyDescent="0.2">
      <c r="B66" s="107"/>
      <c r="C66" s="107"/>
      <c r="D66" s="107"/>
      <c r="E66" s="107"/>
      <c r="F66" s="107"/>
      <c r="G66" s="107"/>
      <c r="H66" s="107"/>
      <c r="I66" s="107"/>
      <c r="J66" s="107"/>
      <c r="K66" s="107"/>
      <c r="L66" s="107"/>
      <c r="M66" s="107"/>
      <c r="N66" s="107"/>
      <c r="O66" s="126"/>
      <c r="P66" s="113"/>
    </row>
    <row r="67" spans="1:16" s="119" customFormat="1" ht="15" customHeight="1" x14ac:dyDescent="0.2">
      <c r="A67" s="323" t="s">
        <v>276</v>
      </c>
      <c r="B67" s="324"/>
      <c r="C67" s="325"/>
      <c r="D67" s="326" t="s">
        <v>103</v>
      </c>
      <c r="E67" s="327"/>
      <c r="F67" s="107"/>
      <c r="G67" s="101">
        <f>IF(D67="yes",1,IF(D67="no",0))</f>
        <v>0</v>
      </c>
      <c r="H67" s="232"/>
      <c r="I67" s="232"/>
      <c r="J67" s="232"/>
      <c r="K67" s="232"/>
      <c r="L67" s="232"/>
      <c r="M67" s="232"/>
      <c r="N67" s="232"/>
      <c r="O67" s="232"/>
      <c r="P67" s="231"/>
    </row>
    <row r="68" spans="1:16" s="119" customFormat="1" ht="12" customHeight="1" x14ac:dyDescent="0.2">
      <c r="B68" s="232"/>
      <c r="C68" s="232"/>
      <c r="D68" s="232"/>
      <c r="E68" s="232"/>
      <c r="F68" s="232"/>
      <c r="G68" s="232"/>
      <c r="H68" s="232"/>
      <c r="I68" s="232"/>
      <c r="J68" s="232"/>
      <c r="K68" s="232"/>
      <c r="L68" s="232"/>
      <c r="M68" s="232"/>
      <c r="N68" s="232"/>
      <c r="O68" s="232"/>
      <c r="P68" s="231"/>
    </row>
    <row r="69" spans="1:16" s="119" customFormat="1" ht="15" customHeight="1" x14ac:dyDescent="0.2">
      <c r="A69" s="323" t="s">
        <v>277</v>
      </c>
      <c r="B69" s="324"/>
      <c r="C69" s="325"/>
      <c r="D69" s="348">
        <v>0</v>
      </c>
      <c r="E69" s="349"/>
      <c r="F69" s="119" t="s">
        <v>29</v>
      </c>
      <c r="G69" s="232"/>
      <c r="H69" s="232"/>
      <c r="I69" s="232"/>
      <c r="J69" s="232"/>
      <c r="K69" s="232"/>
      <c r="L69" s="235"/>
      <c r="M69" s="335" t="s">
        <v>192</v>
      </c>
      <c r="N69" s="336"/>
      <c r="O69" s="48">
        <f>IF(G67=1,(O61+O63)*D69,0)</f>
        <v>0</v>
      </c>
      <c r="P69" s="236" t="s">
        <v>140</v>
      </c>
    </row>
    <row r="70" spans="1:16" s="119" customFormat="1" ht="12" customHeight="1" x14ac:dyDescent="0.2">
      <c r="B70" s="237"/>
      <c r="C70" s="237"/>
      <c r="D70" s="237"/>
      <c r="E70" s="237"/>
      <c r="F70" s="237"/>
      <c r="G70" s="237"/>
      <c r="H70" s="237"/>
      <c r="I70" s="237"/>
      <c r="J70" s="237"/>
      <c r="K70" s="237"/>
      <c r="L70" s="237"/>
      <c r="M70" s="237"/>
      <c r="N70" s="237"/>
      <c r="O70" s="237"/>
      <c r="P70" s="235"/>
    </row>
    <row r="71" spans="1:16" s="119" customFormat="1" ht="15" customHeight="1" x14ac:dyDescent="0.2">
      <c r="H71" s="237"/>
      <c r="I71" s="237"/>
      <c r="L71" s="235" t="s">
        <v>281</v>
      </c>
      <c r="M71" s="294" t="s">
        <v>275</v>
      </c>
      <c r="N71" s="295"/>
      <c r="O71" s="238">
        <f>O61+O63+O69</f>
        <v>2793</v>
      </c>
      <c r="P71" s="236" t="s">
        <v>140</v>
      </c>
    </row>
    <row r="72" spans="1:16" s="119" customFormat="1" x14ac:dyDescent="0.2">
      <c r="L72" s="235"/>
      <c r="M72" s="235"/>
      <c r="N72" s="235"/>
      <c r="O72" s="235"/>
      <c r="P72" s="235"/>
    </row>
    <row r="73" spans="1:16" s="119" customFormat="1" ht="15" customHeight="1" x14ac:dyDescent="0.2">
      <c r="J73" s="235"/>
      <c r="L73" s="235"/>
      <c r="M73" s="335" t="s">
        <v>245</v>
      </c>
      <c r="N73" s="336"/>
      <c r="O73" s="238">
        <f>ROUNDUP(O71/45,0)</f>
        <v>63</v>
      </c>
      <c r="P73" s="235"/>
    </row>
    <row r="74" spans="1:16" s="119" customFormat="1" ht="12" customHeight="1" x14ac:dyDescent="0.2">
      <c r="B74" s="232"/>
      <c r="C74" s="232"/>
      <c r="D74" s="232"/>
      <c r="E74" s="232"/>
      <c r="F74" s="232"/>
      <c r="G74" s="232"/>
      <c r="H74" s="232"/>
      <c r="I74" s="232"/>
      <c r="J74" s="232"/>
      <c r="K74" s="232"/>
      <c r="L74" s="237"/>
      <c r="M74" s="237"/>
      <c r="N74" s="237"/>
      <c r="O74" s="237"/>
      <c r="P74" s="235"/>
    </row>
    <row r="75" spans="1:16" s="119" customFormat="1" ht="12" customHeight="1" x14ac:dyDescent="0.2">
      <c r="B75" s="237"/>
      <c r="C75" s="237"/>
      <c r="D75" s="237"/>
      <c r="E75" s="237"/>
      <c r="F75" s="237"/>
      <c r="G75" s="237"/>
      <c r="H75" s="237"/>
      <c r="I75" s="237"/>
      <c r="J75" s="237"/>
      <c r="K75" s="237"/>
      <c r="L75" s="237"/>
      <c r="M75" s="237"/>
      <c r="N75" s="237"/>
      <c r="O75" s="237"/>
      <c r="P75" s="235"/>
    </row>
    <row r="76" spans="1:16" s="119" customFormat="1" ht="15" customHeight="1" x14ac:dyDescent="0.2">
      <c r="A76" s="323" t="s">
        <v>278</v>
      </c>
      <c r="B76" s="324"/>
      <c r="C76" s="325"/>
      <c r="D76" s="326" t="s">
        <v>103</v>
      </c>
      <c r="E76" s="327"/>
      <c r="F76" s="232"/>
      <c r="G76" s="101">
        <f>IF(D76="yes",1,IF(D76="no",0))</f>
        <v>0</v>
      </c>
      <c r="H76" s="232"/>
      <c r="I76" s="232"/>
      <c r="J76" s="232"/>
      <c r="K76" s="232"/>
      <c r="L76" s="237"/>
      <c r="M76" s="335" t="s">
        <v>192</v>
      </c>
      <c r="N76" s="336"/>
      <c r="O76" s="48">
        <f>IF(G76=1,(O71),0)</f>
        <v>0</v>
      </c>
      <c r="P76" s="236" t="s">
        <v>140</v>
      </c>
    </row>
    <row r="77" spans="1:16" s="119" customFormat="1" ht="12" customHeight="1" x14ac:dyDescent="0.2">
      <c r="B77" s="232"/>
      <c r="C77" s="232"/>
      <c r="D77" s="232"/>
      <c r="E77" s="232"/>
      <c r="F77" s="232"/>
      <c r="G77" s="232"/>
      <c r="H77" s="232"/>
      <c r="I77" s="232"/>
      <c r="J77" s="232"/>
      <c r="K77" s="232"/>
      <c r="L77" s="237"/>
      <c r="M77" s="237"/>
      <c r="N77" s="237"/>
      <c r="O77" s="237"/>
      <c r="P77" s="235"/>
    </row>
    <row r="78" spans="1:16" s="119" customFormat="1" ht="12" customHeight="1" x14ac:dyDescent="0.2">
      <c r="B78" s="232"/>
      <c r="C78" s="232"/>
      <c r="D78" s="232"/>
      <c r="E78" s="232"/>
      <c r="F78" s="232"/>
      <c r="G78" s="232"/>
      <c r="H78" s="232"/>
      <c r="I78" s="232"/>
      <c r="J78" s="232"/>
      <c r="K78" s="232"/>
      <c r="L78" s="237"/>
      <c r="M78" s="237"/>
      <c r="N78" s="237"/>
      <c r="O78" s="237"/>
      <c r="P78" s="235"/>
    </row>
    <row r="79" spans="1:16" s="119" customFormat="1" ht="15" customHeight="1" x14ac:dyDescent="0.2">
      <c r="H79" s="107"/>
      <c r="I79" s="107"/>
      <c r="L79" s="241" t="s">
        <v>281</v>
      </c>
      <c r="M79" s="335" t="s">
        <v>275</v>
      </c>
      <c r="N79" s="336"/>
      <c r="O79" s="163">
        <f>O71+O76</f>
        <v>2793</v>
      </c>
      <c r="P79" s="236" t="s">
        <v>140</v>
      </c>
    </row>
    <row r="80" spans="1:16" x14ac:dyDescent="0.2">
      <c r="L80" s="235"/>
      <c r="M80" s="235"/>
      <c r="N80" s="235"/>
      <c r="O80" s="235"/>
      <c r="P80" s="235"/>
    </row>
    <row r="81" spans="1:23" ht="15" customHeight="1" x14ac:dyDescent="0.2">
      <c r="J81" s="113"/>
      <c r="L81" s="235"/>
      <c r="M81" s="335" t="s">
        <v>245</v>
      </c>
      <c r="N81" s="336"/>
      <c r="O81" s="163">
        <f>IF(G76=1,O73*2,O73)</f>
        <v>63</v>
      </c>
      <c r="P81" s="235"/>
    </row>
    <row r="82" spans="1:23" x14ac:dyDescent="0.2">
      <c r="L82" s="235"/>
      <c r="M82" s="235"/>
      <c r="N82" s="235"/>
      <c r="O82" s="235"/>
      <c r="P82" s="235"/>
    </row>
    <row r="83" spans="1:23" ht="15.75" x14ac:dyDescent="0.2">
      <c r="L83" s="235"/>
      <c r="M83" s="347" t="str">
        <f>IF(G76=1,"Main &amp; Reserve Cylinders","Just Main Cylinders")</f>
        <v>Just Main Cylinders</v>
      </c>
      <c r="N83" s="347"/>
      <c r="O83" s="347"/>
      <c r="P83" s="235"/>
    </row>
    <row r="85" spans="1:23" s="27" customFormat="1" ht="15" customHeight="1" x14ac:dyDescent="0.2">
      <c r="A85" s="283" t="s">
        <v>96</v>
      </c>
      <c r="B85" s="283"/>
      <c r="C85" s="283"/>
      <c r="D85" s="283"/>
      <c r="E85" s="283"/>
      <c r="F85" s="283"/>
      <c r="G85" s="283"/>
      <c r="H85" s="283"/>
      <c r="I85" s="283"/>
      <c r="J85" s="283"/>
      <c r="K85" s="283"/>
      <c r="L85" s="283"/>
      <c r="M85" s="283"/>
      <c r="N85" s="283"/>
      <c r="O85" s="283"/>
      <c r="P85" s="283"/>
      <c r="Q85" s="72"/>
      <c r="R85" s="72"/>
      <c r="S85" s="72"/>
      <c r="T85" s="72"/>
      <c r="U85" s="72"/>
      <c r="V85" s="72"/>
      <c r="W85" s="46"/>
    </row>
    <row r="86" spans="1:23" s="27" customFormat="1" ht="39.950000000000003" customHeight="1" x14ac:dyDescent="0.2">
      <c r="A86" s="132"/>
      <c r="B86" s="333" t="s">
        <v>194</v>
      </c>
      <c r="C86" s="333"/>
      <c r="D86" s="333"/>
      <c r="E86" s="333"/>
      <c r="F86" s="333"/>
      <c r="G86" s="333"/>
      <c r="H86" s="333"/>
      <c r="I86" s="333"/>
      <c r="J86" s="333"/>
      <c r="K86" s="333"/>
      <c r="L86" s="333"/>
      <c r="M86" s="333"/>
      <c r="N86" s="333"/>
      <c r="O86" s="333"/>
      <c r="P86" s="132"/>
      <c r="Q86" s="73"/>
      <c r="R86" s="73"/>
      <c r="S86" s="73"/>
      <c r="T86" s="73"/>
      <c r="U86" s="73"/>
      <c r="V86" s="73"/>
      <c r="W86" s="46"/>
    </row>
    <row r="87" spans="1:23" s="27" customFormat="1" ht="9.9499999999999993" customHeight="1" x14ac:dyDescent="0.2">
      <c r="A87" s="46"/>
      <c r="B87" s="46"/>
      <c r="C87" s="46"/>
      <c r="D87" s="46"/>
      <c r="E87" s="46"/>
      <c r="F87" s="46"/>
      <c r="G87" s="46"/>
      <c r="H87" s="46"/>
      <c r="I87" s="46"/>
      <c r="J87" s="46"/>
      <c r="K87" s="46"/>
      <c r="L87" s="46"/>
      <c r="M87" s="46"/>
      <c r="N87" s="46"/>
      <c r="O87" s="127"/>
      <c r="P87" s="46"/>
      <c r="Q87" s="46"/>
      <c r="R87" s="46"/>
      <c r="S87" s="46"/>
      <c r="T87" s="46"/>
      <c r="U87" s="46"/>
      <c r="V87" s="46"/>
      <c r="W87" s="46"/>
    </row>
    <row r="88" spans="1:23" s="27" customFormat="1" x14ac:dyDescent="0.2">
      <c r="A88" s="46"/>
      <c r="B88" s="46"/>
      <c r="C88" s="46"/>
      <c r="D88" s="46"/>
      <c r="E88" s="46"/>
      <c r="F88" s="46"/>
      <c r="G88" s="46"/>
      <c r="H88" s="46"/>
      <c r="I88" s="46"/>
      <c r="J88" s="46"/>
      <c r="K88" s="46"/>
      <c r="L88" s="46"/>
      <c r="M88" s="46"/>
      <c r="N88" s="46"/>
      <c r="O88" s="127"/>
      <c r="P88" s="46"/>
      <c r="Q88" s="46"/>
      <c r="R88" s="46"/>
      <c r="S88" s="46"/>
      <c r="T88" s="46"/>
      <c r="U88" s="46"/>
      <c r="V88" s="46"/>
      <c r="W88" s="46"/>
    </row>
  </sheetData>
  <sheetProtection password="8BE7" sheet="1" objects="1" scenarios="1"/>
  <dataConsolidate/>
  <mergeCells count="86">
    <mergeCell ref="M83:O83"/>
    <mergeCell ref="A76:C76"/>
    <mergeCell ref="D76:E76"/>
    <mergeCell ref="M76:N76"/>
    <mergeCell ref="A67:C67"/>
    <mergeCell ref="D67:E67"/>
    <mergeCell ref="A69:C69"/>
    <mergeCell ref="D69:E69"/>
    <mergeCell ref="M69:N69"/>
    <mergeCell ref="M73:N73"/>
    <mergeCell ref="M37:N37"/>
    <mergeCell ref="M39:N39"/>
    <mergeCell ref="O3:P3"/>
    <mergeCell ref="R4:U4"/>
    <mergeCell ref="R5:U5"/>
    <mergeCell ref="H10:N10"/>
    <mergeCell ref="A4:P4"/>
    <mergeCell ref="A5:P5"/>
    <mergeCell ref="A6:P6"/>
    <mergeCell ref="A37:C37"/>
    <mergeCell ref="D37:F37"/>
    <mergeCell ref="H12:M12"/>
    <mergeCell ref="B31:D31"/>
    <mergeCell ref="B32:D32"/>
    <mergeCell ref="A19:C19"/>
    <mergeCell ref="B30:D30"/>
    <mergeCell ref="F38:F39"/>
    <mergeCell ref="D38:E39"/>
    <mergeCell ref="B86:O86"/>
    <mergeCell ref="B65:O65"/>
    <mergeCell ref="C45:N45"/>
    <mergeCell ref="C41:N41"/>
    <mergeCell ref="M81:N81"/>
    <mergeCell ref="M63:N63"/>
    <mergeCell ref="M57:N57"/>
    <mergeCell ref="M53:N53"/>
    <mergeCell ref="M79:N79"/>
    <mergeCell ref="M61:N61"/>
    <mergeCell ref="M48:N48"/>
    <mergeCell ref="M43:N43"/>
    <mergeCell ref="B59:N59"/>
    <mergeCell ref="A57:C57"/>
    <mergeCell ref="D57:E57"/>
    <mergeCell ref="A55:C55"/>
    <mergeCell ref="D55:E55"/>
    <mergeCell ref="A43:C43"/>
    <mergeCell ref="A48:C48"/>
    <mergeCell ref="D48:E48"/>
    <mergeCell ref="B51:O51"/>
    <mergeCell ref="B50:O50"/>
    <mergeCell ref="H25:H26"/>
    <mergeCell ref="I25:I26"/>
    <mergeCell ref="J25:J26"/>
    <mergeCell ref="B29:D29"/>
    <mergeCell ref="D19:E19"/>
    <mergeCell ref="B25:D27"/>
    <mergeCell ref="E25:G25"/>
    <mergeCell ref="A10:C10"/>
    <mergeCell ref="D10:E10"/>
    <mergeCell ref="A12:C12"/>
    <mergeCell ref="D12:E12"/>
    <mergeCell ref="A14:C14"/>
    <mergeCell ref="T23:U23"/>
    <mergeCell ref="T24:U24"/>
    <mergeCell ref="A17:C17"/>
    <mergeCell ref="D17:E17"/>
    <mergeCell ref="Q18:R18"/>
    <mergeCell ref="A22:C22"/>
    <mergeCell ref="M22:N22"/>
    <mergeCell ref="L19:M19"/>
    <mergeCell ref="H14:P16"/>
    <mergeCell ref="O25:O26"/>
    <mergeCell ref="D14:F14"/>
    <mergeCell ref="K25:K26"/>
    <mergeCell ref="A85:P85"/>
    <mergeCell ref="F19:G19"/>
    <mergeCell ref="D22:E22"/>
    <mergeCell ref="A63:C63"/>
    <mergeCell ref="D63:E63"/>
    <mergeCell ref="P25:P26"/>
    <mergeCell ref="N25:N26"/>
    <mergeCell ref="B28:D28"/>
    <mergeCell ref="A25:A27"/>
    <mergeCell ref="L25:L26"/>
    <mergeCell ref="M25:M26"/>
    <mergeCell ref="M71:N71"/>
  </mergeCells>
  <conditionalFormatting sqref="E28:G32">
    <cfRule type="cellIs" dxfId="43" priority="74" stopIfTrue="1" operator="lessThanOrEqual">
      <formula>0</formula>
    </cfRule>
  </conditionalFormatting>
  <conditionalFormatting sqref="D19:G19">
    <cfRule type="expression" dxfId="42" priority="72">
      <formula>$D$13=2</formula>
    </cfRule>
  </conditionalFormatting>
  <conditionalFormatting sqref="M39:P39">
    <cfRule type="expression" dxfId="41" priority="70">
      <formula>$D$13=1</formula>
    </cfRule>
  </conditionalFormatting>
  <conditionalFormatting sqref="A17:F17">
    <cfRule type="expression" dxfId="40" priority="66">
      <formula>$D$13=2</formula>
    </cfRule>
  </conditionalFormatting>
  <conditionalFormatting sqref="D63:E63">
    <cfRule type="cellIs" dxfId="39" priority="56" operator="notBetween">
      <formula>-18</formula>
      <formula>93</formula>
    </cfRule>
  </conditionalFormatting>
  <conditionalFormatting sqref="D55">
    <cfRule type="expression" dxfId="38" priority="46">
      <formula>$G$55=0</formula>
    </cfRule>
    <cfRule type="expression" dxfId="37" priority="47">
      <formula>$G$55=1</formula>
    </cfRule>
  </conditionalFormatting>
  <conditionalFormatting sqref="D48">
    <cfRule type="expression" dxfId="36" priority="49">
      <formula>$G$48=0</formula>
    </cfRule>
    <cfRule type="expression" dxfId="35" priority="50">
      <formula>$G$48=1</formula>
    </cfRule>
  </conditionalFormatting>
  <conditionalFormatting sqref="D57:D58">
    <cfRule type="expression" dxfId="34" priority="44">
      <formula>$G$55=0</formula>
    </cfRule>
    <cfRule type="expression" dxfId="33" priority="45">
      <formula>$G$55=1</formula>
    </cfRule>
  </conditionalFormatting>
  <conditionalFormatting sqref="C41">
    <cfRule type="expression" dxfId="32" priority="41">
      <formula>$D$13=1</formula>
    </cfRule>
  </conditionalFormatting>
  <conditionalFormatting sqref="A37:F37">
    <cfRule type="expression" dxfId="31" priority="38">
      <formula>$D$13=1</formula>
    </cfRule>
  </conditionalFormatting>
  <conditionalFormatting sqref="E43:G43">
    <cfRule type="expression" dxfId="30" priority="36">
      <formula>$D$13=1</formula>
    </cfRule>
  </conditionalFormatting>
  <conditionalFormatting sqref="A45:B45">
    <cfRule type="expression" dxfId="29" priority="34">
      <formula>$D$13=2</formula>
    </cfRule>
  </conditionalFormatting>
  <conditionalFormatting sqref="C45">
    <cfRule type="expression" dxfId="28" priority="33">
      <formula>$D$13=1</formula>
    </cfRule>
  </conditionalFormatting>
  <conditionalFormatting sqref="M37:P37">
    <cfRule type="expression" dxfId="27" priority="32">
      <formula>$D$13=1</formula>
    </cfRule>
  </conditionalFormatting>
  <conditionalFormatting sqref="Q18:R18">
    <cfRule type="expression" dxfId="26" priority="31">
      <formula>$D$13=1</formula>
    </cfRule>
  </conditionalFormatting>
  <conditionalFormatting sqref="N19">
    <cfRule type="expression" dxfId="25" priority="30">
      <formula>$D$13=1</formula>
    </cfRule>
  </conditionalFormatting>
  <conditionalFormatting sqref="L19:O19">
    <cfRule type="expression" dxfId="24" priority="29">
      <formula>$D$13=1</formula>
    </cfRule>
  </conditionalFormatting>
  <conditionalFormatting sqref="A43:F43">
    <cfRule type="expression" dxfId="23" priority="28">
      <formula>$D$13=1</formula>
    </cfRule>
  </conditionalFormatting>
  <conditionalFormatting sqref="A43">
    <cfRule type="expression" dxfId="22" priority="27">
      <formula>$D$13=1</formula>
    </cfRule>
  </conditionalFormatting>
  <conditionalFormatting sqref="L43:P43">
    <cfRule type="expression" dxfId="21" priority="25">
      <formula>$D$13=1</formula>
    </cfRule>
  </conditionalFormatting>
  <conditionalFormatting sqref="D38:E39">
    <cfRule type="expression" dxfId="20" priority="23">
      <formula>$D$10="bs 5306 - 4"</formula>
    </cfRule>
  </conditionalFormatting>
  <conditionalFormatting sqref="F38:F39">
    <cfRule type="expression" dxfId="19" priority="22">
      <formula>$D$10&lt;&gt;"bs 5306 - 4"</formula>
    </cfRule>
  </conditionalFormatting>
  <conditionalFormatting sqref="D38:F39">
    <cfRule type="expression" dxfId="18" priority="21">
      <formula>$D$13=1</formula>
    </cfRule>
  </conditionalFormatting>
  <conditionalFormatting sqref="D14:F14">
    <cfRule type="expression" dxfId="17" priority="19">
      <formula>$E$15=1</formula>
    </cfRule>
    <cfRule type="expression" dxfId="16" priority="20">
      <formula>$D$15=1</formula>
    </cfRule>
  </conditionalFormatting>
  <conditionalFormatting sqref="A19:C19">
    <cfRule type="expression" dxfId="15" priority="18">
      <formula>$D$13=2</formula>
    </cfRule>
  </conditionalFormatting>
  <conditionalFormatting sqref="A32:P32">
    <cfRule type="expression" dxfId="14" priority="17">
      <formula>$D$22&lt;5</formula>
    </cfRule>
  </conditionalFormatting>
  <conditionalFormatting sqref="A31:P31">
    <cfRule type="expression" dxfId="13" priority="16">
      <formula>$D$22&lt;4</formula>
    </cfRule>
  </conditionalFormatting>
  <conditionalFormatting sqref="A30:P30">
    <cfRule type="expression" dxfId="12" priority="15">
      <formula>$D$22&lt;3</formula>
    </cfRule>
  </conditionalFormatting>
  <conditionalFormatting sqref="A29:P29">
    <cfRule type="expression" dxfId="11" priority="14">
      <formula>$D$22&lt;2</formula>
    </cfRule>
  </conditionalFormatting>
  <conditionalFormatting sqref="D67">
    <cfRule type="expression" dxfId="10" priority="12">
      <formula>$G$67=0</formula>
    </cfRule>
    <cfRule type="expression" dxfId="9" priority="13">
      <formula>$G$67=1</formula>
    </cfRule>
  </conditionalFormatting>
  <conditionalFormatting sqref="D69">
    <cfRule type="expression" dxfId="8" priority="10">
      <formula>$G$67=0</formula>
    </cfRule>
    <cfRule type="expression" dxfId="7" priority="11">
      <formula>$G$67=1</formula>
    </cfRule>
  </conditionalFormatting>
  <conditionalFormatting sqref="D76">
    <cfRule type="expression" dxfId="6" priority="8">
      <formula>$G$76=0</formula>
    </cfRule>
    <cfRule type="expression" dxfId="5" priority="9">
      <formula>$G$76=1</formula>
    </cfRule>
  </conditionalFormatting>
  <conditionalFormatting sqref="L76:P78 L80:P82 M79:P79 L79">
    <cfRule type="expression" dxfId="4" priority="5">
      <formula>$G$76=0</formula>
    </cfRule>
  </conditionalFormatting>
  <conditionalFormatting sqref="L53:P53">
    <cfRule type="expression" dxfId="3" priority="3">
      <formula>$G$48=0</formula>
    </cfRule>
  </conditionalFormatting>
  <conditionalFormatting sqref="L61:P61">
    <cfRule type="expression" dxfId="2" priority="2">
      <formula>$G$55=0</formula>
    </cfRule>
  </conditionalFormatting>
  <conditionalFormatting sqref="L71">
    <cfRule type="expression" dxfId="0" priority="1">
      <formula>$G$76=1</formula>
    </cfRule>
  </conditionalFormatting>
  <dataValidations count="3">
    <dataValidation type="list" allowBlank="1" showInputMessage="1" showErrorMessage="1" sqref="D37:F37">
      <formula1>S.F._Material</formula1>
    </dataValidation>
    <dataValidation type="list" allowBlank="1" showInputMessage="1" showErrorMessage="1" sqref="D22">
      <formula1>Number_Enclosure</formula1>
    </dataValidation>
    <dataValidation type="list" allowBlank="1" showInputMessage="1" showErrorMessage="1" error="&quot;Unvalid Data&quot;_x000a_Please Select Correct Standard from list" prompt="Select Desirable Standard from List" sqref="D10:E10">
      <formula1>Standards</formula1>
    </dataValidation>
  </dataValidations>
  <hyperlinks>
    <hyperlink ref="A17:C17" location="'D.S. - D.C. &amp; F.F. '!A1" display="Design Concentration"/>
    <hyperlink ref="A19:C19" location="'D.S. - D.C. &amp; F.F. '!A1" display="Flooding Factor (F.F.)"/>
    <hyperlink ref="A48:C48" location="'Leakage Compensation'!A1" display="Anticipated Tempreture"/>
    <hyperlink ref="A63:C63" location="'Temp. Compensation'!A1" display="Anticipated Tempreture"/>
    <hyperlink ref="A43:B43" location="'S.F. - MCF'!A1" display="Material Conversion Factor"/>
    <hyperlink ref="D38:E39" location="'S.F. - D.C (NFPA)'!A1" display="NFPA 12"/>
    <hyperlink ref="F38:F39" location="'S.F. - D.C (BS)'!A1" display="BS 5306"/>
    <hyperlink ref="L19:M19" location="'S.F. - F.F.'!A1" display="Flooding Factor (F.F.)"/>
    <hyperlink ref="R4:U4" location="Summary!A1" display="back to Summary"/>
    <hyperlink ref="R5:U5" location="'Flow rate'!A1" display="go to Flow Rate"/>
  </hyperlinks>
  <pageMargins left="0.7" right="0.7" top="0.5" bottom="0.75" header="0.5" footer="0.3"/>
  <pageSetup paperSize="9" scale="51" orientation="portrait" horizontalDpi="1200" verticalDpi="1200" r:id="rId1"/>
  <headerFooter>
    <oddHeader>&amp;L&amp;G</oddHeader>
    <oddFooter>&amp;L&amp;"Cambria,Regular"&amp;8Tel  : +98 ( 21 ) 4420 1601
&amp;K00+000Tel  :&amp;K000000 +98 ( 21 ) 4420 1768
Fax : +98 ( 21 ) 4420 1934&amp;C&amp;"Cambria,Regular"&amp;8-2-&amp;R&amp;"Cambria,Regular"&amp;8Created by: Ali Cheraghi
(BSEE)</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4" id="{A9612F2E-B350-4464-8BCE-25845D50B8EE}">
            <xm:f>'Leakage Compensation'!$S$12=0</xm:f>
            <x14:dxf>
              <font>
                <b/>
                <i/>
                <color theme="0"/>
              </font>
              <fill>
                <patternFill>
                  <bgColor rgb="FFFF0000"/>
                </patternFill>
              </fill>
              <border>
                <left style="dotted">
                  <color auto="1"/>
                </left>
                <right style="dotted">
                  <color auto="1"/>
                </right>
                <top style="dotted">
                  <color auto="1"/>
                </top>
                <bottom style="dotted">
                  <color auto="1"/>
                </bottom>
                <vertical/>
                <horizontal/>
              </border>
            </x14:dxf>
          </x14:cfRule>
          <xm:sqref>B51:O51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'raw data'!$H$2:$H$3</xm:f>
          </x14:formula1>
          <xm:sqref>D55:E55 D48:E48 D67:E67 D76:E76</xm:sqref>
        </x14:dataValidation>
        <x14:dataValidation type="list" allowBlank="1" showInputMessage="1" showErrorMessage="1" error="Select Correct Type from List" prompt="Select Type of Fire">
          <x14:formula1>
            <xm:f>'raw data'!$A$2:$A$3</xm:f>
          </x14:formula1>
          <xm:sqref>D12</xm:sqref>
        </x14:dataValidation>
        <x14:dataValidation type="list" allowBlank="1" showInputMessage="1" showErrorMessage="1" error="&quot;Unvalid Data&quot;_x000a_Please Select Correct Discharge Time" prompt="Select Desirable Discharge Time from List">
          <x14:formula1>
            <xm:f>'raw data'!$E$2:$E$5</xm:f>
          </x14:formula1>
          <xm:sqref>A14:C14</xm:sqref>
        </x14:dataValidation>
        <x14:dataValidation type="list" showInputMessage="1" showErrorMessage="1" error="&quot;Unvalid Data&quot;_x000a_Please Select Correct Discharge Time" prompt="Select Desirable Discharge Time from List">
          <x14:formula1>
            <xm:f>'raw data'!$E$2:$E$7</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0"/>
    <pageSetUpPr fitToPage="1"/>
  </sheetPr>
  <dimension ref="A1:Y38"/>
  <sheetViews>
    <sheetView showGridLines="0" view="pageBreakPreview" zoomScale="115" zoomScaleNormal="100" zoomScaleSheetLayoutView="115" workbookViewId="0">
      <pane ySplit="12" topLeftCell="A13" activePane="bottomLeft" state="frozen"/>
      <selection pane="bottomLeft" activeCell="C10" sqref="C10:D10"/>
    </sheetView>
  </sheetViews>
  <sheetFormatPr defaultColWidth="9.7109375" defaultRowHeight="15" customHeight="1" x14ac:dyDescent="0.2"/>
  <cols>
    <col min="1" max="1" width="7.7109375" style="150" customWidth="1"/>
    <col min="2" max="2" width="11.7109375" style="150" customWidth="1"/>
    <col min="3" max="3" width="5.7109375" style="150" customWidth="1"/>
    <col min="4" max="4" width="15.7109375" style="150" customWidth="1"/>
    <col min="5" max="9" width="9.7109375" style="150"/>
    <col min="10" max="12" width="10.7109375" style="150" customWidth="1"/>
    <col min="13" max="13" width="9.7109375" style="150"/>
    <col min="14" max="14" width="14.7109375" style="150" customWidth="1"/>
    <col min="15" max="19" width="9.7109375" style="150"/>
    <col min="20" max="20" width="14.7109375" style="150" customWidth="1"/>
    <col min="21" max="16384" width="9.7109375" style="150"/>
  </cols>
  <sheetData>
    <row r="1" spans="1:25" s="119" customFormat="1" ht="9.9499999999999993" customHeight="1" x14ac:dyDescent="0.15">
      <c r="A1" s="203"/>
      <c r="B1" s="203"/>
      <c r="C1" s="203"/>
      <c r="D1" s="203"/>
      <c r="E1" s="203"/>
      <c r="F1" s="203"/>
      <c r="G1" s="203"/>
      <c r="H1" s="203"/>
      <c r="I1" s="203"/>
      <c r="J1" s="203"/>
      <c r="K1" s="203"/>
      <c r="L1" s="161"/>
      <c r="M1" s="161"/>
      <c r="N1" s="161"/>
      <c r="O1" s="161"/>
      <c r="P1" s="161"/>
      <c r="Q1" s="161"/>
      <c r="R1" s="161"/>
      <c r="S1" s="199" t="s">
        <v>240</v>
      </c>
      <c r="T1" s="199" t="str">
        <f>Summary!L1</f>
        <v>1396/05/28</v>
      </c>
    </row>
    <row r="2" spans="1:25" s="119" customFormat="1" ht="9.9499999999999993" customHeight="1" x14ac:dyDescent="0.15">
      <c r="A2" s="203"/>
      <c r="B2" s="203"/>
      <c r="C2" s="203"/>
      <c r="D2" s="203"/>
      <c r="E2" s="203"/>
      <c r="F2" s="203"/>
      <c r="G2" s="203"/>
      <c r="H2" s="203"/>
      <c r="I2" s="203"/>
      <c r="J2" s="203"/>
      <c r="K2" s="203"/>
      <c r="L2" s="161"/>
      <c r="M2" s="161"/>
      <c r="N2" s="161"/>
      <c r="O2" s="161"/>
      <c r="P2" s="161"/>
      <c r="Q2" s="161"/>
      <c r="R2" s="161"/>
      <c r="S2" s="199" t="s">
        <v>241</v>
      </c>
      <c r="T2" s="199">
        <f>Summary!L2</f>
        <v>26.8</v>
      </c>
    </row>
    <row r="3" spans="1:25" s="119" customFormat="1" ht="9.9499999999999993" customHeight="1" x14ac:dyDescent="0.15">
      <c r="A3" s="203"/>
      <c r="B3" s="203"/>
      <c r="C3" s="203"/>
      <c r="D3" s="203"/>
      <c r="E3" s="203"/>
      <c r="F3" s="203"/>
      <c r="G3" s="203"/>
      <c r="H3" s="203"/>
      <c r="I3" s="203"/>
      <c r="J3" s="203"/>
      <c r="K3" s="203"/>
      <c r="L3" s="161"/>
      <c r="M3" s="161"/>
      <c r="N3" s="161"/>
      <c r="O3" s="161"/>
      <c r="P3" s="161"/>
      <c r="Q3" s="161"/>
      <c r="R3" s="161"/>
      <c r="S3" s="337" t="s">
        <v>242</v>
      </c>
      <c r="T3" s="337"/>
    </row>
    <row r="4" spans="1:25" s="1" customFormat="1" ht="30" customHeight="1" x14ac:dyDescent="0.2">
      <c r="A4" s="270" t="s">
        <v>153</v>
      </c>
      <c r="B4" s="270"/>
      <c r="C4" s="270"/>
      <c r="D4" s="270"/>
      <c r="E4" s="270"/>
      <c r="F4" s="270"/>
      <c r="G4" s="270"/>
      <c r="H4" s="270"/>
      <c r="I4" s="270"/>
      <c r="J4" s="270"/>
      <c r="K4" s="270"/>
      <c r="L4" s="270"/>
      <c r="M4" s="270"/>
      <c r="N4" s="270"/>
      <c r="O4" s="270"/>
      <c r="P4" s="270"/>
      <c r="Q4" s="270"/>
      <c r="R4" s="270"/>
      <c r="S4" s="270"/>
      <c r="T4" s="270"/>
    </row>
    <row r="5" spans="1:25" s="1" customFormat="1" ht="20.100000000000001" customHeight="1" x14ac:dyDescent="0.25">
      <c r="A5" s="340" t="s">
        <v>88</v>
      </c>
      <c r="B5" s="340"/>
      <c r="C5" s="340"/>
      <c r="D5" s="340"/>
      <c r="E5" s="340"/>
      <c r="F5" s="340"/>
      <c r="G5" s="340"/>
      <c r="H5" s="340"/>
      <c r="I5" s="340"/>
      <c r="J5" s="340"/>
      <c r="K5" s="340"/>
      <c r="L5" s="340"/>
      <c r="M5" s="340"/>
      <c r="N5" s="340"/>
      <c r="O5" s="340"/>
      <c r="P5" s="340"/>
      <c r="Q5" s="340"/>
      <c r="R5" s="340"/>
      <c r="S5" s="340"/>
      <c r="T5" s="340"/>
      <c r="V5" s="354" t="s">
        <v>151</v>
      </c>
      <c r="W5" s="354"/>
      <c r="X5" s="354"/>
      <c r="Y5" s="354"/>
    </row>
    <row r="6" spans="1:25" s="70" customFormat="1" ht="30" customHeight="1" x14ac:dyDescent="0.25">
      <c r="A6" s="341" t="s">
        <v>160</v>
      </c>
      <c r="B6" s="341"/>
      <c r="C6" s="341"/>
      <c r="D6" s="341"/>
      <c r="E6" s="341"/>
      <c r="F6" s="341"/>
      <c r="G6" s="341"/>
      <c r="H6" s="341"/>
      <c r="I6" s="341"/>
      <c r="J6" s="341"/>
      <c r="K6" s="341"/>
      <c r="L6" s="341"/>
      <c r="M6" s="341"/>
      <c r="N6" s="341"/>
      <c r="O6" s="341"/>
      <c r="P6" s="341"/>
      <c r="Q6" s="341"/>
      <c r="R6" s="341"/>
      <c r="S6" s="341"/>
      <c r="T6" s="341"/>
    </row>
    <row r="7" spans="1:25" ht="15" customHeight="1" x14ac:dyDescent="0.2">
      <c r="A7" s="165"/>
      <c r="B7" s="165"/>
      <c r="C7" s="165"/>
      <c r="D7" s="165"/>
      <c r="E7" s="165"/>
      <c r="F7" s="165"/>
      <c r="G7" s="165"/>
      <c r="H7" s="165"/>
      <c r="I7" s="165"/>
      <c r="J7" s="165"/>
      <c r="K7" s="165"/>
      <c r="L7" s="165"/>
      <c r="M7" s="165"/>
      <c r="N7" s="165"/>
      <c r="O7" s="165"/>
      <c r="P7" s="165"/>
      <c r="Q7" s="165"/>
      <c r="R7" s="165"/>
      <c r="S7" s="165"/>
      <c r="T7" s="165"/>
    </row>
    <row r="8" spans="1:25" ht="15" customHeight="1" x14ac:dyDescent="0.2">
      <c r="A8" s="357" t="s">
        <v>124</v>
      </c>
      <c r="B8" s="357"/>
      <c r="C8" s="363" t="str">
        <f>'Protected Areas'!D12</f>
        <v>Deep Seated</v>
      </c>
      <c r="D8" s="363"/>
      <c r="E8" s="161"/>
      <c r="F8" s="161"/>
      <c r="G8" s="161"/>
      <c r="H8" s="355" t="str">
        <f>IF(D8="deep seated","NFPA 12, 5.2.3: Deep-seated fires involving solids subject to smoldering",IF(D8="surface fire","NFPA 12, 5.2.3: Surface fires involving flammable liquids, gases, and solids",""))</f>
        <v/>
      </c>
      <c r="I8" s="355"/>
      <c r="J8" s="355"/>
      <c r="K8" s="355"/>
      <c r="L8" s="355"/>
      <c r="M8" s="355"/>
      <c r="N8" s="355"/>
      <c r="O8" s="355"/>
      <c r="P8" s="166"/>
      <c r="Q8" s="167"/>
      <c r="R8" s="161"/>
      <c r="S8" s="165"/>
      <c r="T8" s="165"/>
    </row>
    <row r="9" spans="1:25" ht="15" customHeight="1" x14ac:dyDescent="0.2">
      <c r="A9" s="161"/>
      <c r="B9" s="161"/>
      <c r="C9" s="161"/>
      <c r="D9" s="161"/>
      <c r="E9" s="161"/>
      <c r="F9" s="161"/>
      <c r="G9" s="161"/>
      <c r="H9" s="167"/>
      <c r="I9" s="167"/>
      <c r="J9" s="167"/>
      <c r="K9" s="167"/>
      <c r="L9" s="167"/>
      <c r="M9" s="167"/>
      <c r="N9" s="167"/>
      <c r="O9" s="167"/>
      <c r="P9" s="167"/>
      <c r="Q9" s="167"/>
      <c r="R9" s="161"/>
      <c r="S9" s="165"/>
      <c r="T9" s="165"/>
    </row>
    <row r="10" spans="1:25" ht="15" customHeight="1" x14ac:dyDescent="0.2">
      <c r="A10" s="357" t="s">
        <v>105</v>
      </c>
      <c r="B10" s="357"/>
      <c r="C10" s="358" t="str">
        <f>'Protected Areas'!D14</f>
        <v>7 min. (30% in 2 min.)</v>
      </c>
      <c r="D10" s="359"/>
      <c r="E10" s="161" t="s">
        <v>212</v>
      </c>
      <c r="F10" s="362" t="str">
        <f>IF(Fire_Type=1,"NFPA 12, 5.5.2.3: For deep-seated fires, the design concentration shall be achieved within 7 minutes, but the rate shall be not less than that required to develop a concentration of 30 percent in 2 minutes. (30% = 0,67 kg/m³).",IF(Fire_Type=2,"NFPA 12: 5.5.2.1: For surface fires, the design concentration shall be achieved within 1 minute from start of discharge.",""))</f>
        <v>NFPA 12, 5.5.2.3: For deep-seated fires, the design concentration shall be achieved within 7 minutes, but the rate shall be not less than that required to develop a concentration of 30 percent in 2 minutes. (30% = 0,67 kg/m³).</v>
      </c>
      <c r="G10" s="362"/>
      <c r="H10" s="362"/>
      <c r="I10" s="362"/>
      <c r="J10" s="362"/>
      <c r="K10" s="362"/>
      <c r="L10" s="362"/>
      <c r="M10" s="362"/>
      <c r="N10" s="362"/>
      <c r="O10" s="362"/>
      <c r="P10" s="362"/>
      <c r="Q10" s="362"/>
      <c r="R10" s="362"/>
      <c r="S10" s="362"/>
      <c r="T10" s="165"/>
    </row>
    <row r="11" spans="1:25" ht="15" customHeight="1" x14ac:dyDescent="0.2">
      <c r="A11" s="356" t="s">
        <v>105</v>
      </c>
      <c r="B11" s="356"/>
      <c r="C11" s="364">
        <f>IF('Protected Areas'!D14="7 min.",7,IF('Protected Areas'!D14="7 min. (30% in 2 min.)",8,IF('Protected Areas'!D14="4 min.",4,IF('Protected Areas'!D14="3 min.",3,IF('Protected Areas'!D14="2 min.",2,IF('Protected Areas'!D14="1 min.",1))))))</f>
        <v>8</v>
      </c>
      <c r="D11" s="364"/>
      <c r="E11" s="183" t="s">
        <v>212</v>
      </c>
      <c r="F11" s="362"/>
      <c r="G11" s="362"/>
      <c r="H11" s="362"/>
      <c r="I11" s="362"/>
      <c r="J11" s="362"/>
      <c r="K11" s="362"/>
      <c r="L11" s="362"/>
      <c r="M11" s="362"/>
      <c r="N11" s="362"/>
      <c r="O11" s="362"/>
      <c r="P11" s="362"/>
      <c r="Q11" s="362"/>
      <c r="R11" s="362"/>
      <c r="S11" s="362"/>
      <c r="T11" s="165"/>
    </row>
    <row r="12" spans="1:25" ht="15" hidden="1" customHeight="1" x14ac:dyDescent="0.2">
      <c r="A12" s="360" t="s">
        <v>105</v>
      </c>
      <c r="B12" s="360"/>
      <c r="C12" s="361" t="b">
        <f>IF('Protected Areas'!D15="7 min.",7,IF('Protected Areas'!D15="7 min. (30% in 2 min.)",8,IF('Protected Areas'!D15="4 min.",4,IF('Protected Areas'!D15="3 min.",3,IF('Protected Areas'!D15="2 min.",2,IF('Protected Areas'!D15="1 min.",1))))))</f>
        <v>0</v>
      </c>
      <c r="D12" s="361"/>
      <c r="E12" s="183"/>
      <c r="F12" s="362"/>
      <c r="G12" s="362"/>
      <c r="H12" s="362"/>
      <c r="I12" s="362"/>
      <c r="J12" s="362"/>
      <c r="K12" s="362"/>
      <c r="L12" s="362"/>
      <c r="M12" s="362"/>
      <c r="N12" s="362"/>
      <c r="O12" s="362"/>
      <c r="P12" s="362"/>
      <c r="Q12" s="362"/>
      <c r="R12" s="362"/>
      <c r="S12" s="362"/>
      <c r="T12" s="165"/>
    </row>
    <row r="13" spans="1:25" ht="15" customHeight="1" x14ac:dyDescent="0.2">
      <c r="A13" s="127"/>
      <c r="B13" s="127"/>
      <c r="C13" s="127"/>
      <c r="D13" s="127"/>
      <c r="E13" s="127"/>
      <c r="F13" s="127"/>
      <c r="G13" s="170"/>
      <c r="H13" s="170"/>
      <c r="I13" s="170"/>
      <c r="J13" s="170"/>
      <c r="K13" s="170"/>
      <c r="L13" s="170"/>
      <c r="M13" s="170"/>
      <c r="N13" s="170"/>
      <c r="O13" s="170"/>
      <c r="P13" s="170"/>
      <c r="Q13" s="170"/>
      <c r="R13" s="162"/>
    </row>
    <row r="14" spans="1:25" ht="15" customHeight="1" x14ac:dyDescent="0.2">
      <c r="A14" s="165"/>
      <c r="B14" s="165"/>
      <c r="C14" s="165"/>
      <c r="D14" s="165"/>
      <c r="E14" s="165"/>
      <c r="F14" s="165"/>
      <c r="G14" s="165"/>
      <c r="H14" s="165"/>
      <c r="I14" s="165"/>
      <c r="J14" s="165"/>
      <c r="K14" s="165"/>
      <c r="L14" s="165"/>
      <c r="M14" s="165"/>
      <c r="N14" s="165"/>
      <c r="O14" s="165"/>
      <c r="P14" s="165"/>
      <c r="Q14" s="165"/>
    </row>
    <row r="15" spans="1:25" s="119" customFormat="1" ht="17.100000000000001" customHeight="1" x14ac:dyDescent="0.2">
      <c r="A15" s="302" t="s">
        <v>113</v>
      </c>
      <c r="B15" s="303"/>
      <c r="C15" s="304"/>
      <c r="D15" s="168">
        <f>'Protected Areas'!D22:E22</f>
        <v>3</v>
      </c>
      <c r="E15" s="169"/>
      <c r="F15" s="127"/>
      <c r="G15" s="127"/>
      <c r="H15" s="127"/>
      <c r="Q15" s="305" t="s">
        <v>106</v>
      </c>
      <c r="R15" s="320"/>
      <c r="S15" s="48">
        <f>IF(Number_of_Enclosures=1,Total.Volume.1,IF(Number_of_Enclosures=2,Total.Volume.1+Total.Volume.2,IF(Number_of_Enclosures=3,Total.Volume.1+Total.Volume.2+Total.Volume.3,IF(Number_of_Enclosures=4,Total.Volume.1+Total.Volume.2+Total.Volume.3+Total.Volume.4,IF(Number_of_Enclosures=5,Total.Volume.1+Total.Volume.2+Total.Volume.3+Total.Volume.4+Total.Volume.5,0)))))</f>
        <v>2100</v>
      </c>
      <c r="T15" s="124" t="s">
        <v>127</v>
      </c>
      <c r="U15" s="200" t="b">
        <f>AND(Fire_Type=1,Discharge.Time=OR(1,2,3,4,5,6,7))</f>
        <v>0</v>
      </c>
    </row>
    <row r="16" spans="1:25" ht="15" customHeight="1" x14ac:dyDescent="0.2">
      <c r="A16" s="165"/>
      <c r="B16" s="165"/>
      <c r="C16" s="165"/>
      <c r="D16" s="165"/>
      <c r="E16" s="165"/>
      <c r="F16" s="165"/>
      <c r="G16" s="165"/>
      <c r="H16" s="165"/>
      <c r="I16" s="165"/>
      <c r="J16" s="165"/>
      <c r="K16" s="165"/>
      <c r="L16" s="165"/>
      <c r="M16" s="165"/>
      <c r="N16" s="165"/>
      <c r="O16" s="165"/>
      <c r="P16" s="165"/>
      <c r="Q16" s="305" t="s">
        <v>213</v>
      </c>
      <c r="R16" s="320"/>
      <c r="S16" s="48">
        <f>Total_Agent</f>
        <v>2793</v>
      </c>
      <c r="T16" s="124" t="s">
        <v>140</v>
      </c>
      <c r="U16" s="201">
        <f>IF(OR(Discharge.Time=1,Discharge.Time=2,Discharge.Time=3,Discharge.Time=4,Discharge.Time=7),Discharge.Time,IF(Discharge.Time=8,0))</f>
        <v>0</v>
      </c>
    </row>
    <row r="17" spans="1:21" ht="15" customHeight="1" x14ac:dyDescent="0.2">
      <c r="A17" s="165"/>
      <c r="B17" s="165"/>
      <c r="C17" s="165"/>
      <c r="D17" s="165"/>
      <c r="E17" s="165"/>
      <c r="F17" s="165"/>
      <c r="G17" s="165"/>
      <c r="H17" s="165"/>
      <c r="I17" s="165"/>
      <c r="J17" s="165"/>
      <c r="K17" s="165"/>
      <c r="L17" s="165"/>
      <c r="M17" s="165"/>
      <c r="N17" s="165"/>
      <c r="O17" s="165"/>
      <c r="P17" s="165"/>
      <c r="Q17" s="165"/>
      <c r="U17" s="201"/>
    </row>
    <row r="18" spans="1:21" ht="24.95" customHeight="1" x14ac:dyDescent="0.2">
      <c r="A18" s="278" t="s">
        <v>120</v>
      </c>
      <c r="B18" s="311" t="s">
        <v>121</v>
      </c>
      <c r="C18" s="312"/>
      <c r="D18" s="313"/>
      <c r="E18" s="365" t="s">
        <v>28</v>
      </c>
      <c r="F18" s="365" t="s">
        <v>0</v>
      </c>
      <c r="G18" s="365" t="s">
        <v>1</v>
      </c>
      <c r="H18" s="365" t="s">
        <v>69</v>
      </c>
      <c r="I18" s="278" t="s">
        <v>106</v>
      </c>
      <c r="J18" s="278" t="s">
        <v>210</v>
      </c>
      <c r="K18" s="278" t="s">
        <v>209</v>
      </c>
      <c r="L18" s="278" t="s">
        <v>211</v>
      </c>
      <c r="M18" s="278" t="s">
        <v>94</v>
      </c>
      <c r="N18" s="278" t="s">
        <v>237</v>
      </c>
      <c r="O18" s="278" t="s">
        <v>214</v>
      </c>
      <c r="P18" s="368" t="s">
        <v>200</v>
      </c>
      <c r="Q18" s="369"/>
      <c r="R18" s="278" t="s">
        <v>215</v>
      </c>
      <c r="S18" s="278" t="s">
        <v>262</v>
      </c>
      <c r="T18" s="278" t="s">
        <v>238</v>
      </c>
      <c r="U18" s="202"/>
    </row>
    <row r="19" spans="1:21" ht="24.95" customHeight="1" x14ac:dyDescent="0.2">
      <c r="A19" s="293"/>
      <c r="B19" s="314"/>
      <c r="C19" s="315"/>
      <c r="D19" s="316"/>
      <c r="E19" s="365"/>
      <c r="F19" s="365"/>
      <c r="G19" s="365"/>
      <c r="H19" s="365"/>
      <c r="I19" s="279"/>
      <c r="J19" s="293"/>
      <c r="K19" s="279"/>
      <c r="L19" s="279"/>
      <c r="M19" s="279"/>
      <c r="N19" s="279"/>
      <c r="O19" s="279"/>
      <c r="P19" s="173" t="s">
        <v>223</v>
      </c>
      <c r="Q19" s="173" t="s">
        <v>224</v>
      </c>
      <c r="R19" s="279"/>
      <c r="S19" s="279"/>
      <c r="T19" s="279"/>
      <c r="U19" s="202"/>
    </row>
    <row r="20" spans="1:21" ht="15" customHeight="1" x14ac:dyDescent="0.2">
      <c r="A20" s="279"/>
      <c r="B20" s="317"/>
      <c r="C20" s="318"/>
      <c r="D20" s="319"/>
      <c r="E20" s="53" t="s">
        <v>26</v>
      </c>
      <c r="F20" s="53" t="s">
        <v>26</v>
      </c>
      <c r="G20" s="53" t="s">
        <v>26</v>
      </c>
      <c r="H20" s="53" t="s">
        <v>195</v>
      </c>
      <c r="I20" s="53" t="s">
        <v>196</v>
      </c>
      <c r="J20" s="53" t="s">
        <v>29</v>
      </c>
      <c r="K20" s="53" t="s">
        <v>140</v>
      </c>
      <c r="L20" s="53" t="s">
        <v>140</v>
      </c>
      <c r="M20" s="53" t="s">
        <v>216</v>
      </c>
      <c r="N20" s="53"/>
      <c r="O20" s="53" t="s">
        <v>216</v>
      </c>
      <c r="P20" s="53" t="s">
        <v>217</v>
      </c>
      <c r="Q20" s="53" t="s">
        <v>217</v>
      </c>
      <c r="R20" s="53" t="s">
        <v>140</v>
      </c>
      <c r="S20" s="53" t="s">
        <v>216</v>
      </c>
      <c r="T20" s="53" t="s">
        <v>216</v>
      </c>
      <c r="U20" s="202"/>
    </row>
    <row r="21" spans="1:21" ht="24.95" customHeight="1" x14ac:dyDescent="0.2">
      <c r="A21" s="163">
        <f>'Protected Areas'!A28</f>
        <v>1</v>
      </c>
      <c r="B21" s="353" t="str">
        <f>'Protected Areas'!B28:D28</f>
        <v>Switchgear Room</v>
      </c>
      <c r="C21" s="353"/>
      <c r="D21" s="353"/>
      <c r="E21" s="164">
        <f>'Protected Areas'!E28</f>
        <v>30</v>
      </c>
      <c r="F21" s="164">
        <f>'Protected Areas'!F28</f>
        <v>10</v>
      </c>
      <c r="G21" s="164">
        <f>'Protected Areas'!G28</f>
        <v>5</v>
      </c>
      <c r="H21" s="164">
        <f>'Protected Areas'!I28</f>
        <v>300</v>
      </c>
      <c r="I21" s="164">
        <f>'Protected Areas'!L28</f>
        <v>1425</v>
      </c>
      <c r="J21" s="171">
        <f>Volume_01_percent</f>
        <v>0.6785714285714286</v>
      </c>
      <c r="K21" s="164">
        <f>'Protected Areas'!O28</f>
        <v>1895.25</v>
      </c>
      <c r="L21" s="164">
        <f>'Protected Areas'!P28</f>
        <v>1895.25</v>
      </c>
      <c r="M21" s="350">
        <f>IF(Fire_Type=2,Total_Agent/Discharge.Time,IF(AND(Fire_Type=1,Discharge.Time=U16),Total_Agent/Discharge.Time,U21))</f>
        <v>837.9</v>
      </c>
      <c r="N21" s="370" t="str">
        <f>IF(AND(M21&gt;0,M21&lt;30),"1/2″ (15 mm)",IF(M21&lt;90,"3/4″ (20 mm)",IF(M21&lt;140,"1″ (25 mm)",IF(M21&lt;280,"1 1/4″ (32 mm)",IF(M21&lt;400,"1 1/2″ (40 mm)",IF(M21&lt;550,"2″ (50 mm)",IF(M21&lt;900,"2 1/2″ (65 mm)",IF(M21&lt;1500,"3″ (80 mm)",IF(M21&lt;2500,"4″ (100 mm)",IF(M21&lt;3500,"5″ (125 mm)",IF(M21&lt;5000,"6″ (150 mm)",IF(M21&lt;8650,"8″ (200 mm)",0))))))))))))</f>
        <v>2 1/2″ (65 mm)</v>
      </c>
      <c r="O21" s="164">
        <f>L21/Discharge.Time</f>
        <v>236.90625</v>
      </c>
      <c r="P21" s="172">
        <f>ROUNDUP(H21/30,0)</f>
        <v>10</v>
      </c>
      <c r="Q21" s="176">
        <v>12</v>
      </c>
      <c r="R21" s="164">
        <f>L21/Q21</f>
        <v>157.9375</v>
      </c>
      <c r="S21" s="164">
        <f>R21/Discharge.Time</f>
        <v>19.7421875</v>
      </c>
      <c r="T21" s="184" t="str">
        <f>IF(AND(S21&gt;0,S21&lt;30),"1/2″ (15 mm)",IF(S21&lt;90,"3/4″ (20 mm)",IF(S21&lt;140,"1″ (25 mm)",IF(S21&lt;280,"1 1/4″ (32 mm)",IF(S21&lt;400,"1 1/2″ (40 mm)",IF(S21&lt;550,"2″ (50 mm)",IF(S21&lt;900,"2 1/2″ (65 mm)",IF(S21&lt;1500,"3″ (80 mm)",IF(S21&lt;2500,"4″ (100 mm)",IF(S21&lt;3500,"5″ (125 mm)",IF(S21&lt;5000,"6″ (150 mm)",IF(S21&lt;8650,"8″ (200 mm)",0))))))))))))</f>
        <v>1/2″ (15 mm)</v>
      </c>
      <c r="U21" s="202">
        <f>((Total_Agent*30)/(2*D.S._D.C.))</f>
        <v>837.9</v>
      </c>
    </row>
    <row r="22" spans="1:21" ht="24.95" customHeight="1" x14ac:dyDescent="0.2">
      <c r="A22" s="163">
        <f>'Protected Areas'!A29</f>
        <v>2</v>
      </c>
      <c r="B22" s="353" t="str">
        <f>'Protected Areas'!B29:D29</f>
        <v>Transformer Room</v>
      </c>
      <c r="C22" s="353"/>
      <c r="D22" s="353"/>
      <c r="E22" s="164">
        <f>'Protected Areas'!E29</f>
        <v>5</v>
      </c>
      <c r="F22" s="164">
        <f>'Protected Areas'!F29</f>
        <v>3</v>
      </c>
      <c r="G22" s="164">
        <f>'Protected Areas'!G29</f>
        <v>5</v>
      </c>
      <c r="H22" s="164">
        <f>'Protected Areas'!I29</f>
        <v>15</v>
      </c>
      <c r="I22" s="164">
        <f>'Protected Areas'!L29</f>
        <v>75</v>
      </c>
      <c r="J22" s="171">
        <f>Volume_02_percent</f>
        <v>3.5714285714285712E-2</v>
      </c>
      <c r="K22" s="164">
        <f>'Protected Areas'!O29</f>
        <v>99.75</v>
      </c>
      <c r="L22" s="164">
        <f>'Protected Areas'!P29</f>
        <v>99.75</v>
      </c>
      <c r="M22" s="351"/>
      <c r="N22" s="371"/>
      <c r="O22" s="164">
        <f>'Protected Areas'!P29</f>
        <v>99.75</v>
      </c>
      <c r="P22" s="172">
        <f t="shared" ref="P22:P25" si="0">ROUNDUP(H22/30,0)</f>
        <v>1</v>
      </c>
      <c r="Q22" s="176">
        <v>2</v>
      </c>
      <c r="R22" s="164">
        <f t="shared" ref="R22:R25" si="1">L22/Q22</f>
        <v>49.875</v>
      </c>
      <c r="S22" s="164">
        <f>R22/Discharge.Time</f>
        <v>6.234375</v>
      </c>
      <c r="T22" s="184" t="str">
        <f t="shared" ref="T22:T25" si="2">IF(AND(S22&gt;0,S22&lt;30),"1/2″ (15 mm)",IF(S22&lt;90,"3/4″ (20 mm)",IF(S22&lt;140,"1″ (25 mm)",IF(S22&lt;280,"1 1/4″ (32 mm)",IF(S22&lt;400,"1 1/2″ (40 mm)",IF(S22&lt;550,"2″ (50 mm)",IF(S22&lt;900,"2 1/2″ (65 mm)",IF(S22&lt;1500,"3″ (80 mm)",IF(S22&lt;2500,"4″ (100 mm)",IF(S22&lt;3500,"5″ (125 mm)",IF(S22&lt;5000,"6″ (150 mm)",IF(S22&lt;8650,"8″ (200 mm)",0))))))))))))</f>
        <v>1/2″ (15 mm)</v>
      </c>
      <c r="U22" s="202"/>
    </row>
    <row r="23" spans="1:21" ht="24.95" customHeight="1" x14ac:dyDescent="0.2">
      <c r="A23" s="163">
        <f>'Protected Areas'!A30</f>
        <v>3</v>
      </c>
      <c r="B23" s="353" t="str">
        <f>'Protected Areas'!B30:D30</f>
        <v>Cable Gallery</v>
      </c>
      <c r="C23" s="353"/>
      <c r="D23" s="353"/>
      <c r="E23" s="164">
        <f>'Protected Areas'!E30</f>
        <v>30</v>
      </c>
      <c r="F23" s="164">
        <f>'Protected Areas'!F30</f>
        <v>10</v>
      </c>
      <c r="G23" s="164">
        <f>'Protected Areas'!G30</f>
        <v>2</v>
      </c>
      <c r="H23" s="164">
        <f>'Protected Areas'!I30</f>
        <v>300</v>
      </c>
      <c r="I23" s="164">
        <f>'Protected Areas'!L30</f>
        <v>600</v>
      </c>
      <c r="J23" s="171">
        <f>Volume_03_percent</f>
        <v>0.2857142857142857</v>
      </c>
      <c r="K23" s="164">
        <f>'Protected Areas'!O30</f>
        <v>798</v>
      </c>
      <c r="L23" s="164">
        <f>'Protected Areas'!P30</f>
        <v>798</v>
      </c>
      <c r="M23" s="351"/>
      <c r="N23" s="371"/>
      <c r="O23" s="164">
        <f>'Protected Areas'!P30</f>
        <v>798</v>
      </c>
      <c r="P23" s="172">
        <f t="shared" si="0"/>
        <v>10</v>
      </c>
      <c r="Q23" s="176">
        <v>12</v>
      </c>
      <c r="R23" s="164">
        <f t="shared" si="1"/>
        <v>66.5</v>
      </c>
      <c r="S23" s="164">
        <f>R23/Discharge.Time</f>
        <v>8.3125</v>
      </c>
      <c r="T23" s="184" t="str">
        <f t="shared" si="2"/>
        <v>1/2″ (15 mm)</v>
      </c>
    </row>
    <row r="24" spans="1:21" ht="24.95" customHeight="1" x14ac:dyDescent="0.2">
      <c r="A24" s="163">
        <f>'Protected Areas'!A31</f>
        <v>0</v>
      </c>
      <c r="B24" s="353">
        <f>'Protected Areas'!B31:D31</f>
        <v>0</v>
      </c>
      <c r="C24" s="353"/>
      <c r="D24" s="353"/>
      <c r="E24" s="164">
        <f>'Protected Areas'!E31</f>
        <v>0</v>
      </c>
      <c r="F24" s="164">
        <f>'Protected Areas'!F31</f>
        <v>0</v>
      </c>
      <c r="G24" s="164">
        <f>'Protected Areas'!G31</f>
        <v>0</v>
      </c>
      <c r="H24" s="164">
        <f>'Protected Areas'!I31</f>
        <v>0</v>
      </c>
      <c r="I24" s="164">
        <f>'Protected Areas'!L31</f>
        <v>0</v>
      </c>
      <c r="J24" s="171">
        <f>Volume_04_percent</f>
        <v>0</v>
      </c>
      <c r="K24" s="164">
        <f>'Protected Areas'!O31</f>
        <v>0</v>
      </c>
      <c r="L24" s="164">
        <f>'Protected Areas'!P31</f>
        <v>0</v>
      </c>
      <c r="M24" s="351"/>
      <c r="N24" s="371"/>
      <c r="O24" s="164">
        <f>'Protected Areas'!P31</f>
        <v>0</v>
      </c>
      <c r="P24" s="172">
        <f t="shared" si="0"/>
        <v>0</v>
      </c>
      <c r="Q24" s="176">
        <v>0</v>
      </c>
      <c r="R24" s="164" t="e">
        <f t="shared" si="1"/>
        <v>#DIV/0!</v>
      </c>
      <c r="S24" s="164" t="e">
        <f>R24/Discharge.Time</f>
        <v>#DIV/0!</v>
      </c>
      <c r="T24" s="184" t="e">
        <f t="shared" si="2"/>
        <v>#DIV/0!</v>
      </c>
    </row>
    <row r="25" spans="1:21" ht="24.95" customHeight="1" x14ac:dyDescent="0.2">
      <c r="A25" s="163">
        <f>'Protected Areas'!A32</f>
        <v>0</v>
      </c>
      <c r="B25" s="353">
        <f>'Protected Areas'!B32:D32</f>
        <v>0</v>
      </c>
      <c r="C25" s="353"/>
      <c r="D25" s="353"/>
      <c r="E25" s="164">
        <f>'Protected Areas'!E32</f>
        <v>0</v>
      </c>
      <c r="F25" s="164">
        <f>'Protected Areas'!F32</f>
        <v>0</v>
      </c>
      <c r="G25" s="164">
        <f>'Protected Areas'!G32</f>
        <v>0</v>
      </c>
      <c r="H25" s="164">
        <f>'Protected Areas'!I32</f>
        <v>0</v>
      </c>
      <c r="I25" s="164">
        <f>'Protected Areas'!L32</f>
        <v>0</v>
      </c>
      <c r="J25" s="171">
        <f>Volume_05_percent</f>
        <v>0</v>
      </c>
      <c r="K25" s="164">
        <f>'Protected Areas'!O32</f>
        <v>0</v>
      </c>
      <c r="L25" s="164">
        <f>'Protected Areas'!P32</f>
        <v>0</v>
      </c>
      <c r="M25" s="352"/>
      <c r="N25" s="372"/>
      <c r="O25" s="164">
        <f>'Protected Areas'!P32</f>
        <v>0</v>
      </c>
      <c r="P25" s="172">
        <f t="shared" si="0"/>
        <v>0</v>
      </c>
      <c r="Q25" s="176">
        <v>0</v>
      </c>
      <c r="R25" s="164" t="e">
        <f t="shared" si="1"/>
        <v>#DIV/0!</v>
      </c>
      <c r="S25" s="164" t="e">
        <f>R25/Discharge.Time</f>
        <v>#DIV/0!</v>
      </c>
      <c r="T25" s="184" t="e">
        <f t="shared" si="2"/>
        <v>#DIV/0!</v>
      </c>
    </row>
    <row r="28" spans="1:21" ht="30" customHeight="1" x14ac:dyDescent="0.2">
      <c r="B28" s="373" t="s">
        <v>239</v>
      </c>
      <c r="C28" s="373"/>
      <c r="D28" s="373"/>
      <c r="E28" s="373"/>
      <c r="F28" s="373"/>
      <c r="G28" s="373"/>
      <c r="H28" s="373"/>
      <c r="I28" s="373"/>
      <c r="J28" s="373"/>
      <c r="K28" s="373"/>
      <c r="L28" s="373"/>
      <c r="M28" s="373"/>
      <c r="N28" s="373"/>
      <c r="O28" s="373"/>
      <c r="P28" s="373"/>
      <c r="Q28" s="373"/>
      <c r="R28" s="373"/>
      <c r="S28" s="373"/>
    </row>
    <row r="29" spans="1:21" ht="30" customHeight="1" x14ac:dyDescent="0.2">
      <c r="B29" s="373"/>
      <c r="C29" s="373"/>
      <c r="D29" s="373"/>
      <c r="E29" s="373"/>
      <c r="F29" s="373"/>
      <c r="G29" s="373"/>
      <c r="H29" s="373"/>
      <c r="I29" s="373"/>
      <c r="J29" s="373"/>
      <c r="K29" s="373"/>
      <c r="L29" s="373"/>
      <c r="M29" s="373"/>
      <c r="N29" s="373"/>
      <c r="O29" s="373"/>
      <c r="P29" s="373"/>
      <c r="Q29" s="373"/>
      <c r="R29" s="373"/>
      <c r="S29" s="373"/>
    </row>
    <row r="30" spans="1:21" ht="15" customHeight="1" x14ac:dyDescent="0.2">
      <c r="A30" s="366" t="s">
        <v>243</v>
      </c>
      <c r="B30" s="366"/>
      <c r="C30" s="366"/>
      <c r="D30" s="366"/>
      <c r="E30" s="366"/>
      <c r="F30" s="366"/>
      <c r="G30" s="366"/>
      <c r="H30" s="366"/>
      <c r="I30" s="366"/>
      <c r="J30" s="366"/>
      <c r="K30" s="366"/>
      <c r="L30" s="366"/>
      <c r="M30" s="366"/>
      <c r="N30" s="366"/>
      <c r="O30" s="366"/>
      <c r="P30" s="366"/>
      <c r="Q30" s="366"/>
      <c r="R30" s="366"/>
      <c r="S30" s="366"/>
      <c r="T30" s="366"/>
    </row>
    <row r="31" spans="1:21" ht="15" customHeight="1" x14ac:dyDescent="0.2">
      <c r="A31" s="366"/>
      <c r="B31" s="366"/>
      <c r="C31" s="366"/>
      <c r="D31" s="366"/>
      <c r="E31" s="366"/>
      <c r="F31" s="366"/>
      <c r="G31" s="366"/>
      <c r="H31" s="366"/>
      <c r="I31" s="366"/>
      <c r="J31" s="366"/>
      <c r="K31" s="366"/>
      <c r="L31" s="366"/>
      <c r="M31" s="366"/>
      <c r="N31" s="366"/>
      <c r="O31" s="366"/>
      <c r="P31" s="366"/>
      <c r="Q31" s="366"/>
      <c r="R31" s="366"/>
      <c r="S31" s="366"/>
      <c r="T31" s="366"/>
    </row>
    <row r="32" spans="1:21" ht="15" customHeight="1" x14ac:dyDescent="0.2">
      <c r="A32" s="366" t="s">
        <v>220</v>
      </c>
      <c r="B32" s="366"/>
      <c r="C32" s="366"/>
      <c r="D32" s="366"/>
      <c r="E32" s="366"/>
      <c r="F32" s="366"/>
      <c r="G32" s="366"/>
      <c r="H32" s="366"/>
      <c r="I32" s="366"/>
      <c r="J32" s="366"/>
      <c r="K32" s="366"/>
      <c r="L32" s="366"/>
      <c r="M32" s="366"/>
      <c r="N32" s="366"/>
      <c r="O32" s="366"/>
      <c r="P32" s="366"/>
      <c r="Q32" s="366"/>
      <c r="R32" s="366"/>
      <c r="S32" s="366"/>
      <c r="T32" s="366"/>
    </row>
    <row r="33" spans="1:20" ht="15" customHeight="1" x14ac:dyDescent="0.2">
      <c r="A33" s="366" t="s">
        <v>219</v>
      </c>
      <c r="B33" s="366"/>
      <c r="C33" s="366"/>
      <c r="D33" s="366"/>
      <c r="E33" s="366"/>
      <c r="F33" s="366"/>
      <c r="G33" s="366"/>
      <c r="H33" s="366"/>
      <c r="I33" s="366"/>
      <c r="J33" s="366"/>
      <c r="K33" s="366"/>
      <c r="L33" s="366"/>
      <c r="M33" s="366"/>
      <c r="N33" s="366"/>
      <c r="O33" s="366"/>
      <c r="P33" s="366"/>
      <c r="Q33" s="366"/>
      <c r="R33" s="366"/>
      <c r="S33" s="366"/>
      <c r="T33" s="366"/>
    </row>
    <row r="34" spans="1:20" ht="30" customHeight="1" x14ac:dyDescent="0.2">
      <c r="A34" s="366" t="s">
        <v>244</v>
      </c>
      <c r="B34" s="366"/>
      <c r="C34" s="366"/>
      <c r="D34" s="366"/>
      <c r="E34" s="366"/>
      <c r="F34" s="366"/>
      <c r="G34" s="366"/>
      <c r="H34" s="366"/>
      <c r="I34" s="366"/>
      <c r="J34" s="366"/>
      <c r="K34" s="366"/>
      <c r="L34" s="366"/>
      <c r="M34" s="366"/>
      <c r="N34" s="366"/>
      <c r="O34" s="366"/>
      <c r="P34" s="366"/>
      <c r="Q34" s="366"/>
      <c r="R34" s="366"/>
      <c r="S34" s="366"/>
      <c r="T34" s="366"/>
    </row>
    <row r="35" spans="1:20" ht="30" customHeight="1" x14ac:dyDescent="0.2">
      <c r="A35" s="366"/>
      <c r="B35" s="366"/>
      <c r="C35" s="366"/>
      <c r="D35" s="366"/>
      <c r="E35" s="366"/>
      <c r="F35" s="366"/>
      <c r="G35" s="366"/>
      <c r="H35" s="366"/>
      <c r="I35" s="366"/>
      <c r="J35" s="366"/>
      <c r="K35" s="366"/>
      <c r="L35" s="366"/>
      <c r="M35" s="366"/>
      <c r="N35" s="366"/>
      <c r="O35" s="366"/>
      <c r="P35" s="366"/>
      <c r="Q35" s="366"/>
      <c r="R35" s="366"/>
      <c r="S35" s="366"/>
      <c r="T35" s="366"/>
    </row>
    <row r="36" spans="1:20" ht="30" customHeight="1" x14ac:dyDescent="0.2">
      <c r="A36" s="366"/>
      <c r="B36" s="366"/>
      <c r="C36" s="366"/>
      <c r="D36" s="366"/>
      <c r="E36" s="366"/>
      <c r="F36" s="366"/>
      <c r="G36" s="366"/>
      <c r="H36" s="366"/>
      <c r="I36" s="366"/>
      <c r="J36" s="366"/>
      <c r="K36" s="366"/>
      <c r="L36" s="366"/>
      <c r="M36" s="366"/>
      <c r="N36" s="366"/>
      <c r="O36" s="366"/>
      <c r="P36" s="366"/>
      <c r="Q36" s="366"/>
      <c r="R36" s="366"/>
      <c r="S36" s="366"/>
      <c r="T36" s="366"/>
    </row>
    <row r="37" spans="1:20" ht="15" customHeight="1" x14ac:dyDescent="0.2">
      <c r="A37" s="366" t="s">
        <v>221</v>
      </c>
      <c r="B37" s="366"/>
      <c r="C37" s="366"/>
      <c r="D37" s="366"/>
      <c r="E37" s="366"/>
      <c r="F37" s="366"/>
      <c r="G37" s="366"/>
      <c r="H37" s="366"/>
      <c r="I37" s="366"/>
      <c r="J37" s="366"/>
      <c r="K37" s="366"/>
      <c r="L37" s="366"/>
      <c r="M37" s="366"/>
      <c r="N37" s="366"/>
      <c r="O37" s="366"/>
      <c r="P37" s="366"/>
      <c r="Q37" s="366"/>
      <c r="R37" s="366"/>
      <c r="S37" s="366"/>
      <c r="T37" s="366"/>
    </row>
    <row r="38" spans="1:20" ht="50.1" customHeight="1" x14ac:dyDescent="0.2">
      <c r="A38" s="367" t="s">
        <v>222</v>
      </c>
      <c r="B38" s="367"/>
      <c r="C38" s="367"/>
      <c r="D38" s="367"/>
      <c r="E38" s="367"/>
      <c r="F38" s="367"/>
      <c r="G38" s="367"/>
      <c r="H38" s="367"/>
      <c r="I38" s="367"/>
      <c r="J38" s="367"/>
      <c r="K38" s="367"/>
      <c r="L38" s="367"/>
      <c r="M38" s="367"/>
      <c r="N38" s="367"/>
      <c r="O38" s="367"/>
      <c r="P38" s="367"/>
      <c r="Q38" s="367"/>
      <c r="R38" s="367"/>
      <c r="S38" s="367"/>
      <c r="T38" s="367"/>
    </row>
  </sheetData>
  <sheetProtection password="8BE7" sheet="1" objects="1" scenarios="1"/>
  <mergeCells count="49">
    <mergeCell ref="A37:T37"/>
    <mergeCell ref="A38:T38"/>
    <mergeCell ref="A34:T36"/>
    <mergeCell ref="P18:Q18"/>
    <mergeCell ref="Q16:R16"/>
    <mergeCell ref="N18:N19"/>
    <mergeCell ref="N21:N25"/>
    <mergeCell ref="S18:S19"/>
    <mergeCell ref="B28:S29"/>
    <mergeCell ref="A30:T31"/>
    <mergeCell ref="A33:T33"/>
    <mergeCell ref="A32:T32"/>
    <mergeCell ref="A18:A20"/>
    <mergeCell ref="B18:D20"/>
    <mergeCell ref="E18:E19"/>
    <mergeCell ref="F18:F19"/>
    <mergeCell ref="S3:T3"/>
    <mergeCell ref="F10:S12"/>
    <mergeCell ref="C8:D8"/>
    <mergeCell ref="C11:D11"/>
    <mergeCell ref="G18:G19"/>
    <mergeCell ref="K18:K19"/>
    <mergeCell ref="H18:H19"/>
    <mergeCell ref="I18:I19"/>
    <mergeCell ref="T18:T19"/>
    <mergeCell ref="L18:L19"/>
    <mergeCell ref="M18:M19"/>
    <mergeCell ref="O18:O19"/>
    <mergeCell ref="J18:J19"/>
    <mergeCell ref="R18:R19"/>
    <mergeCell ref="V5:Y5"/>
    <mergeCell ref="A4:T4"/>
    <mergeCell ref="A5:T5"/>
    <mergeCell ref="A6:T6"/>
    <mergeCell ref="A15:C15"/>
    <mergeCell ref="Q15:R15"/>
    <mergeCell ref="H8:O8"/>
    <mergeCell ref="A11:B11"/>
    <mergeCell ref="A8:B8"/>
    <mergeCell ref="C10:D10"/>
    <mergeCell ref="A12:B12"/>
    <mergeCell ref="C12:D12"/>
    <mergeCell ref="A10:B10"/>
    <mergeCell ref="M21:M25"/>
    <mergeCell ref="B23:D23"/>
    <mergeCell ref="B24:D24"/>
    <mergeCell ref="B25:D25"/>
    <mergeCell ref="B21:D21"/>
    <mergeCell ref="B22:D22"/>
  </mergeCells>
  <conditionalFormatting sqref="E21:G25">
    <cfRule type="cellIs" dxfId="64" priority="8" stopIfTrue="1" operator="lessThanOrEqual">
      <formula>0</formula>
    </cfRule>
  </conditionalFormatting>
  <conditionalFormatting sqref="A25:L25 O25:T25">
    <cfRule type="expression" dxfId="63" priority="6">
      <formula>$D$15&lt;5</formula>
    </cfRule>
  </conditionalFormatting>
  <conditionalFormatting sqref="A24:L24 O24:T24">
    <cfRule type="expression" dxfId="62" priority="5">
      <formula>$D$15&lt;4</formula>
    </cfRule>
  </conditionalFormatting>
  <conditionalFormatting sqref="A23:L23 O23:T23">
    <cfRule type="expression" dxfId="61" priority="4">
      <formula>$D$15&lt;3</formula>
    </cfRule>
  </conditionalFormatting>
  <conditionalFormatting sqref="O22:T22 A22:L22">
    <cfRule type="expression" dxfId="60" priority="3">
      <formula>$D$15&lt;2</formula>
    </cfRule>
  </conditionalFormatting>
  <hyperlinks>
    <hyperlink ref="V5:Y5" location="'Protected Areas'!A1" display="back to Protected Areas"/>
  </hyperlinks>
  <printOptions horizontalCentered="1"/>
  <pageMargins left="0.7" right="0.7" top="0.5" bottom="0.75" header="0.3" footer="0.3"/>
  <pageSetup paperSize="9" scale="63" orientation="landscape" horizontalDpi="1200" verticalDpi="1200" r:id="rId1"/>
  <headerFooter>
    <oddHeader>&amp;L&amp;G</oddHeader>
    <oddFooter>&amp;L&amp;"Cambria,Regular"&amp;8Tel  : +98 ( 21 ) 4420 1601
&amp;K00+000Tel  : &amp;K000000+98 ( 21 ) 4420 1768
Fax : +98 ( 21 ) 4420 1934&amp;C&amp;"Cambria,Regular"&amp;8- 3 -&amp;R&amp;"Cambria,Regular"&amp;8Created by Ali Cheraghi
(BSEE)</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BBDFC345-0B6F-491C-B237-32C5ED36004C}">
            <xm:f>'Protected Areas'!$E$15=1</xm:f>
            <x14:dxf>
              <font>
                <color rgb="FF008000"/>
              </font>
              <fill>
                <patternFill>
                  <bgColor theme="0"/>
                </patternFill>
              </fill>
            </x14:dxf>
          </x14:cfRule>
          <x14:cfRule type="expression" priority="2" id="{B1CDF32A-191E-4F5E-9A82-0908D373CD51}">
            <xm:f>'Protected Areas'!$D$15=1</xm:f>
            <x14:dxf>
              <font>
                <color rgb="FF008000"/>
              </font>
              <fill>
                <patternFill>
                  <bgColor theme="0"/>
                </patternFill>
              </fill>
            </x14:dxf>
          </x14:cfRule>
          <xm:sqref>C10:D10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quot;Unvalid Data&quot;_x000a_Please Select Correct Discharge Time" prompt="Select Desirable Discharge Time from List">
          <x14:formula1>
            <xm:f>'raw data'!$E$2:$E$5</xm:f>
          </x14:formula1>
          <xm:sqref>A10:A12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rgb="FFFFC000"/>
    <pageSetUpPr autoPageBreaks="0" fitToPage="1"/>
  </sheetPr>
  <dimension ref="A1:O46"/>
  <sheetViews>
    <sheetView showGridLines="0" view="pageBreakPreview" zoomScaleSheetLayoutView="100" workbookViewId="0">
      <selection activeCell="K2" sqref="K2:N2"/>
    </sheetView>
  </sheetViews>
  <sheetFormatPr defaultColWidth="9.140625" defaultRowHeight="12.75" x14ac:dyDescent="0.2"/>
  <cols>
    <col min="1" max="2" width="12.7109375" style="1" customWidth="1"/>
    <col min="3" max="4" width="18.7109375" style="1" customWidth="1"/>
    <col min="5" max="5" width="15.5703125" style="1" customWidth="1"/>
    <col min="6" max="9" width="10.7109375" style="1" customWidth="1"/>
    <col min="10" max="16384" width="9.140625" style="1"/>
  </cols>
  <sheetData>
    <row r="1" spans="1:15" ht="30" customHeight="1" x14ac:dyDescent="0.2">
      <c r="A1" s="270" t="s">
        <v>153</v>
      </c>
      <c r="B1" s="270"/>
      <c r="C1" s="270"/>
      <c r="D1" s="270"/>
      <c r="E1" s="270"/>
      <c r="F1" s="270"/>
      <c r="G1" s="270"/>
      <c r="H1" s="270"/>
      <c r="I1" s="270"/>
    </row>
    <row r="2" spans="1:15" ht="20.100000000000001" customHeight="1" x14ac:dyDescent="0.25">
      <c r="A2" s="340" t="s">
        <v>88</v>
      </c>
      <c r="B2" s="340"/>
      <c r="C2" s="340"/>
      <c r="D2" s="340"/>
      <c r="E2" s="340"/>
      <c r="F2" s="340"/>
      <c r="G2" s="340"/>
      <c r="H2" s="340"/>
      <c r="I2" s="340"/>
      <c r="K2" s="354" t="s">
        <v>151</v>
      </c>
      <c r="L2" s="354"/>
      <c r="M2" s="354"/>
      <c r="N2" s="354"/>
    </row>
    <row r="3" spans="1:15" ht="20.100000000000001" customHeight="1" x14ac:dyDescent="0.2">
      <c r="A3" s="271" t="s">
        <v>154</v>
      </c>
      <c r="B3" s="271"/>
      <c r="C3" s="271"/>
      <c r="D3" s="271"/>
      <c r="E3" s="271"/>
      <c r="F3" s="271"/>
      <c r="G3" s="271"/>
      <c r="H3" s="271"/>
      <c r="I3" s="271"/>
    </row>
    <row r="4" spans="1:15" ht="39.950000000000003" customHeight="1" x14ac:dyDescent="0.2">
      <c r="A4" s="374" t="s">
        <v>155</v>
      </c>
      <c r="B4" s="271"/>
      <c r="C4" s="271"/>
      <c r="D4" s="271"/>
      <c r="E4" s="271"/>
      <c r="F4" s="271"/>
      <c r="G4" s="271"/>
      <c r="H4" s="271"/>
      <c r="I4" s="271"/>
    </row>
    <row r="5" spans="1:15" s="70" customFormat="1" ht="35.1" customHeight="1" x14ac:dyDescent="0.25">
      <c r="A5" s="341" t="str">
        <f>IF(Fire_Type=1,Project.Name,"This Page is incorrect Field, You Selected Surface Fires Field but This Field acoording to Deep Seated Fire")</f>
        <v>Insert Project Name Sample</v>
      </c>
      <c r="B5" s="341"/>
      <c r="C5" s="341"/>
      <c r="D5" s="341"/>
      <c r="E5" s="341"/>
      <c r="F5" s="341"/>
      <c r="G5" s="341"/>
      <c r="H5" s="341"/>
      <c r="I5" s="341"/>
      <c r="J5" s="68"/>
      <c r="K5" s="66"/>
      <c r="L5" s="66"/>
      <c r="M5" s="66"/>
      <c r="N5" s="66"/>
      <c r="O5" s="66"/>
    </row>
    <row r="6" spans="1:15" ht="15" customHeight="1" x14ac:dyDescent="0.2">
      <c r="A6" s="137"/>
      <c r="B6" s="137"/>
      <c r="C6" s="137"/>
      <c r="D6" s="137"/>
      <c r="E6" s="137"/>
      <c r="F6" s="377" t="s">
        <v>269</v>
      </c>
      <c r="G6" s="377"/>
      <c r="H6" s="377"/>
      <c r="I6" s="137"/>
    </row>
    <row r="7" spans="1:15" ht="17.100000000000001" customHeight="1" x14ac:dyDescent="0.2">
      <c r="A7" s="69" t="s">
        <v>106</v>
      </c>
      <c r="B7" s="230">
        <f>Total.Volume</f>
        <v>2100</v>
      </c>
      <c r="C7" s="11" t="s">
        <v>93</v>
      </c>
      <c r="D7" s="9"/>
      <c r="E7" s="10"/>
      <c r="F7" s="375" t="s">
        <v>80</v>
      </c>
      <c r="G7" s="376"/>
      <c r="H7" s="8">
        <f>D.S._D.C.</f>
        <v>50</v>
      </c>
      <c r="I7" s="11" t="s">
        <v>92</v>
      </c>
      <c r="J7" s="7"/>
    </row>
    <row r="8" spans="1:15" ht="17.100000000000001" customHeight="1" x14ac:dyDescent="0.25">
      <c r="A8" s="123"/>
      <c r="B8" s="5"/>
      <c r="C8" s="6"/>
      <c r="D8" s="9"/>
      <c r="E8" s="4"/>
      <c r="F8" s="375" t="s">
        <v>81</v>
      </c>
      <c r="G8" s="376"/>
      <c r="H8" s="8">
        <f>D.S._F.F.</f>
        <v>1.33</v>
      </c>
      <c r="I8" s="11" t="s">
        <v>102</v>
      </c>
      <c r="J8" s="7"/>
      <c r="K8" s="354"/>
      <c r="L8" s="354"/>
      <c r="M8" s="354"/>
      <c r="N8" s="354"/>
    </row>
    <row r="9" spans="1:15" ht="17.100000000000001" customHeight="1" x14ac:dyDescent="0.25">
      <c r="A9" s="123"/>
      <c r="B9" s="5"/>
      <c r="C9" s="6"/>
      <c r="D9" s="9"/>
      <c r="E9" s="4"/>
      <c r="F9" s="60"/>
      <c r="G9" s="60"/>
      <c r="H9" s="52"/>
      <c r="I9" s="11"/>
      <c r="J9" s="7"/>
      <c r="K9" s="112"/>
      <c r="L9" s="112"/>
      <c r="M9" s="112"/>
      <c r="N9" s="112"/>
    </row>
    <row r="10" spans="1:15" ht="35.1" customHeight="1" x14ac:dyDescent="0.25">
      <c r="A10" s="123"/>
      <c r="B10" s="386" t="s">
        <v>270</v>
      </c>
      <c r="C10" s="386"/>
      <c r="D10" s="386"/>
      <c r="E10" s="386"/>
      <c r="F10" s="386"/>
      <c r="G10" s="386"/>
      <c r="H10" s="386"/>
      <c r="I10" s="11"/>
      <c r="J10" s="7"/>
      <c r="K10" s="112"/>
      <c r="L10" s="112"/>
      <c r="M10" s="112"/>
      <c r="N10" s="112"/>
    </row>
    <row r="11" spans="1:15" ht="17.100000000000001" hidden="1" customHeight="1" x14ac:dyDescent="0.2">
      <c r="A11" s="123"/>
      <c r="B11" s="5"/>
      <c r="C11" s="6"/>
      <c r="D11" s="9"/>
      <c r="E11" s="4"/>
      <c r="F11" s="123"/>
      <c r="G11" s="123"/>
      <c r="H11" s="59"/>
      <c r="I11" s="11"/>
      <c r="J11" s="7"/>
    </row>
    <row r="12" spans="1:15" s="27" customFormat="1" ht="15" hidden="1" customHeight="1" x14ac:dyDescent="0.2">
      <c r="A12" s="393" t="s">
        <v>134</v>
      </c>
      <c r="B12" s="394"/>
      <c r="C12" s="50">
        <f>IF(Fire_Type=1,Total.Volume.1,0)</f>
        <v>1425</v>
      </c>
      <c r="D12" s="395" t="str">
        <f>IF(Fire_Type=2,'Protected Areas'!B27,"")</f>
        <v/>
      </c>
      <c r="E12" s="396"/>
      <c r="F12" s="393" t="s">
        <v>107</v>
      </c>
      <c r="G12" s="397"/>
      <c r="H12" s="50">
        <f>IF(Fire_Type=1,IF(Total.Volume.1&lt;=3.96,1.15,IF(Total.Volume.1&lt;=14.15,1.07,IF(Total.Volume.1&lt;=45.28,1.01,IF(Total.Volume.1&lt;=127.35,0.9,IF(Total.Volume.1&lt;=1415,0.8,0.74))))),0)</f>
        <v>0.74</v>
      </c>
      <c r="I12" s="51" t="s">
        <v>130</v>
      </c>
      <c r="J12" s="38"/>
      <c r="K12" s="38"/>
      <c r="O12" s="38"/>
    </row>
    <row r="13" spans="1:15" s="27" customFormat="1" ht="15" hidden="1" customHeight="1" x14ac:dyDescent="0.2">
      <c r="A13" s="393" t="s">
        <v>135</v>
      </c>
      <c r="B13" s="394"/>
      <c r="C13" s="50">
        <f>IF(Fire_Type=1,Total.Volume.2,0)</f>
        <v>75</v>
      </c>
      <c r="D13" s="395" t="str">
        <f>IF(Fire_Type=2,'Protected Areas'!B28,"")</f>
        <v/>
      </c>
      <c r="E13" s="396"/>
      <c r="F13" s="393" t="s">
        <v>108</v>
      </c>
      <c r="G13" s="397"/>
      <c r="H13" s="50">
        <f>IF(Fire_Type=2,IF(Total.Volume.2&lt;=3.96,1.15,IF(Total.Volume.2&lt;=14.15,1.07,IF(Total.Volume.2&lt;=45.28,1.01,IF(Total.Volume.2&lt;=127.35,0.9,IF(Total.Volume.2&lt;=1415,0.8,0.74))))),0)</f>
        <v>0</v>
      </c>
      <c r="I13" s="51" t="s">
        <v>130</v>
      </c>
      <c r="J13" s="38"/>
      <c r="K13" s="38"/>
      <c r="O13" s="38"/>
    </row>
    <row r="14" spans="1:15" s="27" customFormat="1" ht="15" hidden="1" customHeight="1" x14ac:dyDescent="0.2">
      <c r="A14" s="393" t="s">
        <v>136</v>
      </c>
      <c r="B14" s="394"/>
      <c r="C14" s="50">
        <f>IF(Fire_Type=1,Total.Volume.3,0)</f>
        <v>600</v>
      </c>
      <c r="D14" s="395" t="str">
        <f>IF(Fire_Type=2,'Protected Areas'!B29,"")</f>
        <v/>
      </c>
      <c r="E14" s="396"/>
      <c r="F14" s="393" t="s">
        <v>109</v>
      </c>
      <c r="G14" s="397"/>
      <c r="H14" s="50">
        <f>IF(Fire_Type=2,IF(Total.Volume.3&lt;=3.96,1.15,IF(Total.Volume.3&lt;=14.15,1.07,IF(Total.Volume.3&lt;=45.28,1.01,IF(Total.Volume.3&lt;=127.35,0.9,IF(Total.Volume.3&lt;=1415,0.8,0.74))))),0)</f>
        <v>0</v>
      </c>
      <c r="I14" s="51" t="s">
        <v>130</v>
      </c>
      <c r="J14" s="38"/>
      <c r="K14" s="38"/>
      <c r="O14" s="38"/>
    </row>
    <row r="15" spans="1:15" s="27" customFormat="1" ht="15" hidden="1" customHeight="1" x14ac:dyDescent="0.2">
      <c r="A15" s="393" t="s">
        <v>137</v>
      </c>
      <c r="B15" s="394"/>
      <c r="C15" s="50">
        <f>IF(Fire_Type=1,Total.Volume.4,0)</f>
        <v>0</v>
      </c>
      <c r="D15" s="395" t="str">
        <f>IF(Fire_Type=2,'Protected Areas'!B30,"")</f>
        <v/>
      </c>
      <c r="E15" s="396"/>
      <c r="F15" s="393" t="s">
        <v>125</v>
      </c>
      <c r="G15" s="397"/>
      <c r="H15" s="50">
        <f>IF(Fire_Type=2,IF(Total.Volume.4&lt;=3.96,1.15,IF(Total.Volume.4&lt;=14.15,1.07,IF(Total.Volume.4&lt;=45.28,1.01,IF(Total.Volume.4&lt;=127.35,0.9,IF(Total.Volume.4&lt;=1415,0.8,0.74))))),0)</f>
        <v>0</v>
      </c>
      <c r="I15" s="51" t="s">
        <v>131</v>
      </c>
      <c r="J15" s="38"/>
      <c r="K15" s="38"/>
      <c r="O15" s="38"/>
    </row>
    <row r="16" spans="1:15" s="27" customFormat="1" ht="15" hidden="1" customHeight="1" x14ac:dyDescent="0.2">
      <c r="A16" s="393" t="s">
        <v>138</v>
      </c>
      <c r="B16" s="394"/>
      <c r="C16" s="50">
        <f>IF(Fire_Type=1,Total.Volume.5,0)</f>
        <v>0</v>
      </c>
      <c r="D16" s="395" t="str">
        <f>IF(Fire_Type=2,'Protected Areas'!B31,"")</f>
        <v/>
      </c>
      <c r="E16" s="396"/>
      <c r="F16" s="393" t="s">
        <v>126</v>
      </c>
      <c r="G16" s="397"/>
      <c r="H16" s="50">
        <f>IF(Fire_Type=2,IF(Total.Volume.5&lt;=3.96,1.15,IF(Total.Volume.5&lt;=14.15,1.07,IF(Total.Volume.5&lt;=45.28,1.01,IF(Total.Volume.5&lt;=127.35,0.9,IF(Total.Volume.5&lt;=1415,0.8,0.74))))),0)</f>
        <v>0</v>
      </c>
      <c r="I16" s="51" t="s">
        <v>132</v>
      </c>
      <c r="J16" s="38"/>
      <c r="K16" s="38"/>
      <c r="O16" s="38"/>
    </row>
    <row r="17" spans="1:14" ht="10.15" hidden="1" customHeight="1" x14ac:dyDescent="0.2">
      <c r="A17" s="137"/>
      <c r="B17" s="137"/>
      <c r="C17" s="137"/>
      <c r="D17" s="137"/>
      <c r="E17" s="137"/>
      <c r="F17" s="137"/>
      <c r="G17" s="137"/>
      <c r="H17" s="137"/>
      <c r="I17" s="137"/>
    </row>
    <row r="18" spans="1:14" ht="18" x14ac:dyDescent="0.25">
      <c r="A18" s="388" t="s">
        <v>70</v>
      </c>
      <c r="B18" s="388"/>
      <c r="C18" s="388"/>
      <c r="D18" s="388"/>
      <c r="E18" s="388"/>
      <c r="F18" s="388"/>
      <c r="G18" s="389"/>
      <c r="H18" s="389"/>
      <c r="I18" s="389"/>
      <c r="J18" s="138"/>
      <c r="K18" s="139"/>
      <c r="L18" s="140"/>
      <c r="M18" s="140"/>
      <c r="N18" s="140"/>
    </row>
    <row r="19" spans="1:14" ht="27.2" customHeight="1" x14ac:dyDescent="0.25">
      <c r="A19" s="378" t="s">
        <v>71</v>
      </c>
      <c r="B19" s="378"/>
      <c r="C19" s="378"/>
      <c r="D19" s="378"/>
      <c r="E19" s="378"/>
      <c r="F19" s="385" t="s">
        <v>83</v>
      </c>
      <c r="G19" s="385"/>
      <c r="H19" s="384" t="s">
        <v>162</v>
      </c>
      <c r="I19" s="385"/>
      <c r="J19" s="138"/>
      <c r="K19" s="139"/>
      <c r="L19" s="140"/>
      <c r="M19" s="140"/>
      <c r="N19" s="140"/>
    </row>
    <row r="20" spans="1:14" ht="25.15" customHeight="1" x14ac:dyDescent="0.25">
      <c r="A20" s="390" t="s">
        <v>72</v>
      </c>
      <c r="B20" s="390"/>
      <c r="C20" s="382" t="s">
        <v>73</v>
      </c>
      <c r="D20" s="382"/>
      <c r="E20" s="141" t="s">
        <v>198</v>
      </c>
      <c r="F20" s="383">
        <v>50</v>
      </c>
      <c r="G20" s="383"/>
      <c r="H20" s="383">
        <v>1.6</v>
      </c>
      <c r="I20" s="383"/>
      <c r="J20" s="140"/>
      <c r="K20" s="140"/>
      <c r="L20" s="140"/>
      <c r="M20" s="140"/>
      <c r="N20" s="140"/>
    </row>
    <row r="21" spans="1:14" ht="28.15" customHeight="1" x14ac:dyDescent="0.25">
      <c r="A21" s="390"/>
      <c r="B21" s="390"/>
      <c r="C21" s="382"/>
      <c r="D21" s="382"/>
      <c r="E21" s="141" t="s">
        <v>199</v>
      </c>
      <c r="F21" s="383">
        <v>50</v>
      </c>
      <c r="G21" s="383"/>
      <c r="H21" s="383">
        <v>1.33</v>
      </c>
      <c r="I21" s="383"/>
      <c r="J21" s="140"/>
      <c r="K21" s="140"/>
      <c r="L21" s="140"/>
      <c r="M21" s="140"/>
      <c r="N21" s="140"/>
    </row>
    <row r="22" spans="1:14" ht="25.15" customHeight="1" x14ac:dyDescent="0.25">
      <c r="A22" s="390" t="s">
        <v>74</v>
      </c>
      <c r="B22" s="390"/>
      <c r="C22" s="382" t="s">
        <v>75</v>
      </c>
      <c r="D22" s="382"/>
      <c r="E22" s="142"/>
      <c r="F22" s="383">
        <v>53</v>
      </c>
      <c r="G22" s="383"/>
      <c r="H22" s="391">
        <v>1.5</v>
      </c>
      <c r="I22" s="392"/>
      <c r="J22" s="140"/>
      <c r="K22" s="387"/>
      <c r="L22" s="140"/>
      <c r="M22" s="140"/>
      <c r="N22" s="140"/>
    </row>
    <row r="23" spans="1:14" ht="25.15" customHeight="1" x14ac:dyDescent="0.25">
      <c r="A23" s="390"/>
      <c r="B23" s="390"/>
      <c r="C23" s="382" t="s">
        <v>76</v>
      </c>
      <c r="D23" s="382"/>
      <c r="E23" s="142"/>
      <c r="F23" s="383">
        <v>68</v>
      </c>
      <c r="G23" s="383"/>
      <c r="H23" s="383">
        <v>2.25</v>
      </c>
      <c r="I23" s="383"/>
      <c r="J23" s="140"/>
      <c r="K23" s="387"/>
      <c r="L23" s="140"/>
      <c r="M23" s="140"/>
      <c r="N23" s="140"/>
    </row>
    <row r="24" spans="1:14" ht="25.15" customHeight="1" x14ac:dyDescent="0.25">
      <c r="A24" s="381" t="s">
        <v>77</v>
      </c>
      <c r="B24" s="381"/>
      <c r="C24" s="382" t="s">
        <v>78</v>
      </c>
      <c r="D24" s="382"/>
      <c r="E24" s="142"/>
      <c r="F24" s="383">
        <v>65</v>
      </c>
      <c r="G24" s="383"/>
      <c r="H24" s="383">
        <v>2</v>
      </c>
      <c r="I24" s="383"/>
      <c r="J24" s="140"/>
      <c r="K24" s="140"/>
      <c r="L24" s="140"/>
      <c r="M24" s="140"/>
      <c r="N24" s="140"/>
    </row>
    <row r="25" spans="1:14" ht="15.75" x14ac:dyDescent="0.25">
      <c r="A25" s="381"/>
      <c r="B25" s="381"/>
      <c r="C25" s="382" t="s">
        <v>79</v>
      </c>
      <c r="D25" s="382"/>
      <c r="E25" s="142"/>
      <c r="F25" s="383">
        <v>75</v>
      </c>
      <c r="G25" s="383"/>
      <c r="H25" s="383">
        <v>2.66</v>
      </c>
      <c r="I25" s="383"/>
      <c r="J25" s="140"/>
      <c r="K25" s="140"/>
      <c r="L25" s="140"/>
      <c r="M25" s="140"/>
      <c r="N25" s="140"/>
    </row>
    <row r="26" spans="1:14" ht="15.75" x14ac:dyDescent="0.25">
      <c r="A26" s="379"/>
      <c r="B26" s="379"/>
      <c r="C26" s="379"/>
      <c r="D26" s="379"/>
      <c r="E26" s="379"/>
      <c r="F26" s="379"/>
      <c r="G26" s="379"/>
      <c r="H26" s="379"/>
      <c r="I26" s="379"/>
      <c r="J26" s="140"/>
      <c r="K26" s="140"/>
      <c r="L26" s="140"/>
      <c r="M26" s="140"/>
      <c r="N26" s="140"/>
    </row>
    <row r="27" spans="1:14" ht="15.75" x14ac:dyDescent="0.25">
      <c r="A27" s="380" t="s">
        <v>91</v>
      </c>
      <c r="B27" s="380"/>
      <c r="C27" s="380"/>
      <c r="D27" s="380"/>
      <c r="E27" s="380"/>
      <c r="F27" s="380"/>
      <c r="G27" s="380"/>
      <c r="H27" s="380"/>
      <c r="I27" s="380"/>
      <c r="J27" s="140"/>
      <c r="K27" s="140"/>
      <c r="L27" s="140"/>
      <c r="M27" s="140"/>
      <c r="N27" s="140"/>
    </row>
    <row r="28" spans="1:14" ht="15.75" x14ac:dyDescent="0.25">
      <c r="A28" s="143"/>
      <c r="B28" s="143"/>
      <c r="C28" s="143"/>
      <c r="D28" s="143"/>
      <c r="E28" s="143"/>
      <c r="F28" s="143"/>
      <c r="G28" s="143"/>
      <c r="H28" s="143"/>
      <c r="I28" s="143"/>
      <c r="J28" s="140"/>
      <c r="K28" s="140"/>
      <c r="L28" s="140"/>
      <c r="M28" s="140"/>
      <c r="N28" s="140"/>
    </row>
    <row r="29" spans="1:14" ht="15.75" x14ac:dyDescent="0.25">
      <c r="A29" s="144"/>
      <c r="B29" s="144"/>
      <c r="C29" s="144"/>
      <c r="D29" s="144"/>
      <c r="E29" s="144"/>
      <c r="F29" s="144"/>
      <c r="G29" s="143"/>
      <c r="H29" s="143"/>
      <c r="I29" s="143"/>
      <c r="J29" s="140"/>
      <c r="K29" s="140"/>
      <c r="L29" s="140"/>
      <c r="M29" s="140"/>
      <c r="N29" s="140"/>
    </row>
    <row r="30" spans="1:14" ht="15.75" x14ac:dyDescent="0.25">
      <c r="A30" s="143"/>
      <c r="B30" s="143"/>
      <c r="C30" s="143"/>
      <c r="D30" s="143"/>
      <c r="E30" s="143"/>
      <c r="F30" s="143"/>
      <c r="G30" s="143"/>
      <c r="H30" s="143"/>
      <c r="I30" s="143"/>
      <c r="J30" s="140"/>
      <c r="K30" s="140"/>
      <c r="L30" s="140"/>
      <c r="M30" s="140"/>
      <c r="N30" s="140"/>
    </row>
    <row r="31" spans="1:14" ht="15.75" x14ac:dyDescent="0.25">
      <c r="A31" s="143"/>
      <c r="B31" s="143"/>
      <c r="C31" s="143"/>
      <c r="D31" s="143"/>
      <c r="E31" s="143"/>
      <c r="F31" s="143"/>
      <c r="G31" s="143"/>
      <c r="H31" s="143"/>
      <c r="I31" s="143"/>
      <c r="J31" s="140"/>
      <c r="K31" s="140"/>
      <c r="L31" s="140"/>
      <c r="M31" s="140"/>
      <c r="N31" s="140"/>
    </row>
    <row r="32" spans="1:14" ht="15.75" x14ac:dyDescent="0.25">
      <c r="A32" s="143"/>
      <c r="B32" s="143"/>
      <c r="C32" s="143"/>
      <c r="D32" s="143"/>
      <c r="E32" s="143"/>
      <c r="F32" s="143"/>
      <c r="G32" s="143"/>
      <c r="H32" s="143"/>
      <c r="I32" s="143"/>
      <c r="J32" s="140"/>
      <c r="K32" s="140"/>
      <c r="L32" s="140"/>
      <c r="M32" s="140"/>
      <c r="N32" s="140"/>
    </row>
    <row r="33" spans="1:14" ht="15.75" x14ac:dyDescent="0.25">
      <c r="A33" s="140"/>
      <c r="B33" s="140"/>
      <c r="C33" s="140"/>
      <c r="D33" s="140"/>
      <c r="E33" s="140"/>
      <c r="F33" s="140"/>
      <c r="G33" s="140"/>
      <c r="H33" s="140"/>
      <c r="I33" s="140"/>
      <c r="J33" s="140"/>
      <c r="K33" s="140"/>
      <c r="L33" s="140"/>
      <c r="M33" s="140"/>
      <c r="N33" s="140"/>
    </row>
    <row r="34" spans="1:14" ht="15.75" x14ac:dyDescent="0.25">
      <c r="A34" s="140"/>
      <c r="B34" s="140"/>
      <c r="C34" s="140"/>
      <c r="D34" s="140"/>
      <c r="E34" s="140"/>
      <c r="F34" s="140"/>
      <c r="G34" s="140"/>
      <c r="H34" s="140"/>
      <c r="I34" s="140"/>
      <c r="J34" s="140"/>
      <c r="K34" s="140"/>
      <c r="L34" s="140"/>
      <c r="M34" s="140"/>
      <c r="N34" s="140"/>
    </row>
    <row r="35" spans="1:14" ht="15.75" x14ac:dyDescent="0.25">
      <c r="A35" s="140"/>
      <c r="B35" s="140"/>
      <c r="C35" s="140"/>
      <c r="D35" s="140"/>
      <c r="E35" s="140"/>
      <c r="F35" s="140"/>
      <c r="G35" s="140"/>
      <c r="H35" s="140"/>
      <c r="I35" s="140"/>
      <c r="J35" s="140"/>
      <c r="K35" s="140"/>
      <c r="L35" s="140"/>
      <c r="M35" s="140"/>
      <c r="N35" s="140"/>
    </row>
    <row r="36" spans="1:14" ht="15.75" x14ac:dyDescent="0.25">
      <c r="A36" s="140"/>
      <c r="B36" s="140"/>
      <c r="C36" s="140"/>
      <c r="D36" s="140"/>
      <c r="E36" s="140"/>
      <c r="F36" s="140"/>
      <c r="G36" s="140"/>
      <c r="H36" s="140"/>
      <c r="I36" s="140"/>
      <c r="J36" s="140"/>
      <c r="K36" s="140"/>
      <c r="L36" s="140"/>
      <c r="M36" s="140"/>
      <c r="N36" s="140"/>
    </row>
    <row r="37" spans="1:14" ht="15.75" x14ac:dyDescent="0.25">
      <c r="A37" s="140"/>
      <c r="B37" s="140"/>
      <c r="C37" s="140"/>
      <c r="D37" s="140"/>
      <c r="E37" s="140"/>
      <c r="F37" s="140"/>
      <c r="G37" s="140"/>
      <c r="H37" s="140"/>
      <c r="I37" s="140"/>
      <c r="J37" s="140"/>
      <c r="K37" s="140"/>
      <c r="L37" s="140"/>
      <c r="M37" s="140"/>
      <c r="N37" s="140"/>
    </row>
    <row r="38" spans="1:14" ht="15.75" x14ac:dyDescent="0.25">
      <c r="A38" s="140"/>
      <c r="B38" s="140"/>
      <c r="C38" s="140"/>
      <c r="D38" s="140"/>
      <c r="E38" s="140"/>
      <c r="F38" s="140"/>
      <c r="G38" s="140"/>
      <c r="H38" s="140"/>
      <c r="I38" s="140"/>
      <c r="J38" s="140"/>
      <c r="K38" s="140"/>
      <c r="L38" s="140"/>
      <c r="M38" s="140"/>
      <c r="N38" s="140"/>
    </row>
    <row r="39" spans="1:14" ht="15.75" x14ac:dyDescent="0.25">
      <c r="A39" s="140"/>
      <c r="B39" s="140"/>
      <c r="C39" s="140"/>
      <c r="D39" s="140"/>
      <c r="E39" s="140"/>
      <c r="F39" s="140"/>
      <c r="G39" s="140"/>
      <c r="H39" s="140"/>
      <c r="I39" s="140"/>
      <c r="J39" s="140"/>
      <c r="K39" s="140"/>
      <c r="L39" s="140"/>
      <c r="M39" s="140"/>
      <c r="N39" s="140"/>
    </row>
    <row r="40" spans="1:14" ht="15.75" x14ac:dyDescent="0.25">
      <c r="A40" s="140"/>
      <c r="B40" s="140"/>
      <c r="C40" s="140"/>
      <c r="D40" s="140"/>
      <c r="E40" s="140"/>
      <c r="F40" s="140"/>
      <c r="G40" s="140"/>
      <c r="H40" s="140"/>
      <c r="I40" s="140"/>
      <c r="J40" s="140"/>
      <c r="K40" s="140"/>
      <c r="L40" s="140"/>
      <c r="M40" s="140"/>
      <c r="N40" s="140"/>
    </row>
    <row r="41" spans="1:14" ht="15.75" x14ac:dyDescent="0.25">
      <c r="A41" s="140"/>
      <c r="B41" s="140"/>
      <c r="C41" s="140"/>
      <c r="D41" s="140"/>
      <c r="E41" s="140"/>
      <c r="F41" s="140"/>
      <c r="G41" s="140"/>
      <c r="H41" s="140"/>
      <c r="I41" s="140"/>
      <c r="J41" s="140"/>
      <c r="K41" s="140"/>
      <c r="L41" s="140"/>
      <c r="M41" s="140"/>
      <c r="N41" s="140"/>
    </row>
    <row r="42" spans="1:14" ht="15.75" x14ac:dyDescent="0.25">
      <c r="A42" s="140"/>
      <c r="B42" s="140"/>
      <c r="C42" s="140"/>
      <c r="D42" s="140"/>
      <c r="E42" s="140"/>
      <c r="F42" s="140"/>
      <c r="G42" s="140"/>
      <c r="H42" s="140"/>
      <c r="I42" s="140"/>
      <c r="J42" s="140"/>
      <c r="K42" s="140"/>
      <c r="L42" s="140"/>
      <c r="M42" s="140"/>
      <c r="N42" s="140"/>
    </row>
    <row r="43" spans="1:14" ht="15.75" x14ac:dyDescent="0.25">
      <c r="A43" s="140"/>
      <c r="B43" s="140"/>
      <c r="C43" s="140"/>
      <c r="D43" s="140"/>
      <c r="E43" s="140"/>
      <c r="F43" s="140"/>
      <c r="G43" s="140"/>
      <c r="H43" s="140"/>
      <c r="I43" s="140"/>
      <c r="J43" s="140"/>
      <c r="K43" s="140"/>
      <c r="L43" s="140"/>
      <c r="M43" s="140"/>
      <c r="N43" s="140"/>
    </row>
    <row r="44" spans="1:14" ht="15.75" x14ac:dyDescent="0.25">
      <c r="A44" s="140"/>
      <c r="B44" s="140"/>
      <c r="C44" s="140"/>
      <c r="D44" s="140"/>
      <c r="E44" s="140"/>
      <c r="F44" s="140"/>
      <c r="G44" s="140"/>
      <c r="H44" s="140"/>
      <c r="I44" s="140"/>
      <c r="J44" s="140"/>
      <c r="K44" s="140"/>
      <c r="L44" s="140"/>
      <c r="M44" s="140"/>
      <c r="N44" s="140"/>
    </row>
    <row r="45" spans="1:14" ht="15.75" x14ac:dyDescent="0.25">
      <c r="A45" s="140"/>
      <c r="B45" s="140"/>
      <c r="C45" s="140"/>
      <c r="D45" s="140"/>
      <c r="E45" s="140"/>
      <c r="F45" s="140"/>
      <c r="G45" s="140"/>
      <c r="H45" s="140"/>
      <c r="I45" s="140"/>
      <c r="J45" s="140"/>
      <c r="K45" s="140"/>
      <c r="L45" s="140"/>
      <c r="M45" s="140"/>
      <c r="N45" s="140"/>
    </row>
    <row r="46" spans="1:14" ht="15.75" x14ac:dyDescent="0.25">
      <c r="A46" s="140"/>
      <c r="B46" s="140"/>
      <c r="C46" s="140"/>
      <c r="D46" s="140"/>
      <c r="E46" s="140"/>
      <c r="F46" s="140"/>
      <c r="G46" s="140"/>
      <c r="H46" s="140"/>
      <c r="I46" s="140"/>
      <c r="J46" s="140"/>
      <c r="K46" s="140"/>
      <c r="L46" s="140"/>
      <c r="M46" s="140"/>
      <c r="N46" s="140"/>
    </row>
  </sheetData>
  <sheetProtection password="8BE7" sheet="1" objects="1" scenarios="1"/>
  <mergeCells count="53">
    <mergeCell ref="A16:B16"/>
    <mergeCell ref="D16:E16"/>
    <mergeCell ref="F12:G12"/>
    <mergeCell ref="F13:G13"/>
    <mergeCell ref="F14:G14"/>
    <mergeCell ref="F15:G15"/>
    <mergeCell ref="F16:G16"/>
    <mergeCell ref="D12:E12"/>
    <mergeCell ref="D13:E13"/>
    <mergeCell ref="D14:E14"/>
    <mergeCell ref="D15:E15"/>
    <mergeCell ref="A12:B12"/>
    <mergeCell ref="A13:B13"/>
    <mergeCell ref="A14:B14"/>
    <mergeCell ref="A15:B15"/>
    <mergeCell ref="B10:H10"/>
    <mergeCell ref="K22:K23"/>
    <mergeCell ref="A18:I18"/>
    <mergeCell ref="A20:B21"/>
    <mergeCell ref="A22:B23"/>
    <mergeCell ref="C20:D21"/>
    <mergeCell ref="C22:D22"/>
    <mergeCell ref="C23:D23"/>
    <mergeCell ref="F19:G19"/>
    <mergeCell ref="H22:I22"/>
    <mergeCell ref="H21:I21"/>
    <mergeCell ref="H20:I20"/>
    <mergeCell ref="F20:G20"/>
    <mergeCell ref="F21:G21"/>
    <mergeCell ref="F22:G22"/>
    <mergeCell ref="F23:G23"/>
    <mergeCell ref="A19:E19"/>
    <mergeCell ref="A26:I26"/>
    <mergeCell ref="A27:I27"/>
    <mergeCell ref="A24:B25"/>
    <mergeCell ref="C24:D24"/>
    <mergeCell ref="C25:D25"/>
    <mergeCell ref="F25:G25"/>
    <mergeCell ref="H25:I25"/>
    <mergeCell ref="F24:G24"/>
    <mergeCell ref="H24:I24"/>
    <mergeCell ref="H19:I19"/>
    <mergeCell ref="H23:I23"/>
    <mergeCell ref="K8:N8"/>
    <mergeCell ref="A1:I1"/>
    <mergeCell ref="A2:I2"/>
    <mergeCell ref="A3:I3"/>
    <mergeCell ref="K2:N2"/>
    <mergeCell ref="A5:I5"/>
    <mergeCell ref="A4:I4"/>
    <mergeCell ref="F7:G7"/>
    <mergeCell ref="F8:G8"/>
    <mergeCell ref="F6:H6"/>
  </mergeCells>
  <phoneticPr fontId="3" type="noConversion"/>
  <hyperlinks>
    <hyperlink ref="K2:N2" location="'Protected Areas'!A1" display="back to Protected Areas"/>
  </hyperlinks>
  <printOptions horizontalCentered="1"/>
  <pageMargins left="0.5" right="0.5" top="0.75" bottom="0.5" header="0.5" footer="0.5"/>
  <pageSetup paperSize="9" orientation="landscape" horizontalDpi="300" verticalDpi="300" r:id="rId1"/>
  <headerFooter alignWithMargins="0">
    <oddHeader>&amp;L&amp;G</oddHeader>
    <oddFooter>&amp;L&amp;"+,Regular"&amp;8Tel  : +98 ( 21 ) 4420 1601
&amp;K00+000Tel  : &amp;K000000+98 ( 21 ) 4420 1768
Fax : +98 ( 21 ) 4420 1934&amp;C&amp;"+,Regular"&amp;8-  4  -&amp;R&amp;"+,Regular"&amp;8Design by Ali  Cheraghi
( BSEE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BC158001-8428-47D6-AC92-755FC287ED4D}">
            <xm:f>'Protected Areas'!$D$13=2</xm:f>
            <x14:dxf>
              <font>
                <color theme="0"/>
              </font>
              <fill>
                <patternFill>
                  <bgColor rgb="FFFF0000"/>
                </patternFill>
              </fill>
              <border>
                <left style="dotted">
                  <color auto="1"/>
                </left>
                <right style="dotted">
                  <color auto="1"/>
                </right>
                <top style="dotted">
                  <color auto="1"/>
                </top>
                <bottom style="dotted">
                  <color auto="1"/>
                </bottom>
                <vertical/>
                <horizontal/>
              </border>
            </x14:dxf>
          </x14:cfRule>
          <xm:sqref>A5:I5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FFC000"/>
  </sheetPr>
  <dimension ref="A1:R45"/>
  <sheetViews>
    <sheetView showGridLines="0" view="pageBreakPreview" zoomScale="110" workbookViewId="0">
      <pane ySplit="8" topLeftCell="A9" activePane="bottomLeft" state="frozen"/>
      <selection activeCell="A4" sqref="A4:Q4"/>
      <selection pane="bottomLeft" activeCell="L2" sqref="L2"/>
    </sheetView>
  </sheetViews>
  <sheetFormatPr defaultColWidth="8.85546875" defaultRowHeight="12.75" x14ac:dyDescent="0.2"/>
  <cols>
    <col min="1" max="3" width="8.7109375" style="27" customWidth="1"/>
    <col min="4" max="6" width="7.7109375" style="27" customWidth="1"/>
    <col min="7" max="8" width="8.7109375" style="27" customWidth="1"/>
    <col min="9" max="9" width="7.7109375" style="27" customWidth="1"/>
    <col min="10" max="10" width="8.7109375" style="27" customWidth="1"/>
    <col min="11" max="11" width="5.5703125" style="27" customWidth="1"/>
    <col min="12" max="16384" width="8.85546875" style="27"/>
  </cols>
  <sheetData>
    <row r="1" spans="1:18" s="1" customFormat="1" ht="30" customHeight="1" x14ac:dyDescent="0.2">
      <c r="A1" s="270" t="s">
        <v>153</v>
      </c>
      <c r="B1" s="270"/>
      <c r="C1" s="270"/>
      <c r="D1" s="270"/>
      <c r="E1" s="270"/>
      <c r="F1" s="270"/>
      <c r="G1" s="270"/>
      <c r="H1" s="270"/>
      <c r="I1" s="270"/>
      <c r="J1" s="270"/>
    </row>
    <row r="2" spans="1:18" s="1" customFormat="1" ht="20.100000000000001" customHeight="1" x14ac:dyDescent="0.25">
      <c r="A2" s="340" t="s">
        <v>88</v>
      </c>
      <c r="B2" s="340"/>
      <c r="C2" s="340"/>
      <c r="D2" s="340"/>
      <c r="E2" s="340"/>
      <c r="F2" s="340"/>
      <c r="G2" s="340"/>
      <c r="H2" s="340"/>
      <c r="I2" s="340"/>
      <c r="J2" s="340"/>
      <c r="K2" s="27"/>
      <c r="L2" s="112" t="s">
        <v>151</v>
      </c>
      <c r="M2" s="112"/>
      <c r="N2" s="112"/>
      <c r="O2" s="112"/>
      <c r="P2" s="27"/>
      <c r="Q2" s="27"/>
      <c r="R2" s="27"/>
    </row>
    <row r="3" spans="1:18" s="1" customFormat="1" ht="20.100000000000001" customHeight="1" x14ac:dyDescent="0.2">
      <c r="A3" s="271" t="s">
        <v>157</v>
      </c>
      <c r="B3" s="271"/>
      <c r="C3" s="271"/>
      <c r="D3" s="271"/>
      <c r="E3" s="271"/>
      <c r="F3" s="271"/>
      <c r="G3" s="271"/>
      <c r="H3" s="271"/>
      <c r="I3" s="271"/>
      <c r="J3" s="271"/>
    </row>
    <row r="4" spans="1:18" s="1" customFormat="1" ht="39.950000000000003" customHeight="1" x14ac:dyDescent="0.2">
      <c r="A4" s="374" t="s">
        <v>225</v>
      </c>
      <c r="B4" s="374"/>
      <c r="C4" s="374"/>
      <c r="D4" s="374"/>
      <c r="E4" s="374"/>
      <c r="F4" s="374"/>
      <c r="G4" s="374"/>
      <c r="H4" s="374"/>
      <c r="I4" s="374"/>
      <c r="J4" s="374"/>
    </row>
    <row r="5" spans="1:18" s="1" customFormat="1" ht="10.15" customHeight="1" x14ac:dyDescent="0.2">
      <c r="A5" s="156"/>
      <c r="B5" s="156"/>
      <c r="C5" s="156"/>
      <c r="D5" s="156"/>
      <c r="E5" s="156"/>
      <c r="F5" s="156"/>
      <c r="G5" s="156"/>
      <c r="H5" s="156"/>
      <c r="I5" s="156"/>
      <c r="J5" s="156"/>
    </row>
    <row r="6" spans="1:18" s="70" customFormat="1" ht="15" customHeight="1" x14ac:dyDescent="0.25">
      <c r="A6" s="407" t="str">
        <f>IF(Fire_Type=2,Project.Name,"This Page is incorrect Field, You Selected Deep Seated Fires Field but This Field is acoording to Surface Fires")</f>
        <v>This Page is incorrect Field, You Selected Deep Seated Fires Field but This Field is acoording to Surface Fires</v>
      </c>
      <c r="B6" s="407"/>
      <c r="C6" s="407"/>
      <c r="D6" s="407"/>
      <c r="E6" s="407"/>
      <c r="F6" s="407"/>
      <c r="G6" s="407"/>
      <c r="H6" s="407"/>
      <c r="I6" s="407"/>
      <c r="J6" s="407"/>
      <c r="K6" s="66"/>
      <c r="L6" s="66"/>
      <c r="M6" s="66"/>
      <c r="N6" s="66"/>
      <c r="O6" s="66"/>
    </row>
    <row r="7" spans="1:18" s="70" customFormat="1" ht="10.15" customHeight="1" x14ac:dyDescent="0.25">
      <c r="A7" s="67"/>
      <c r="B7" s="67"/>
      <c r="C7" s="67"/>
      <c r="D7" s="67"/>
      <c r="E7" s="67"/>
      <c r="F7" s="67"/>
      <c r="G7" s="67"/>
      <c r="H7" s="67"/>
      <c r="I7" s="67"/>
      <c r="J7" s="67"/>
      <c r="K7" s="66"/>
      <c r="L7" s="66"/>
      <c r="M7" s="66"/>
      <c r="N7" s="66"/>
      <c r="O7" s="66"/>
    </row>
    <row r="8" spans="1:18" s="70" customFormat="1" ht="42.95" customHeight="1" x14ac:dyDescent="0.25">
      <c r="A8" s="408" t="s">
        <v>161</v>
      </c>
      <c r="B8" s="408"/>
      <c r="C8" s="408"/>
      <c r="D8" s="408"/>
      <c r="E8" s="408"/>
      <c r="F8" s="408"/>
      <c r="G8" s="408"/>
      <c r="H8" s="408"/>
      <c r="I8" s="408"/>
      <c r="J8" s="408"/>
      <c r="K8" s="66"/>
      <c r="L8" s="66"/>
      <c r="M8" s="66"/>
      <c r="N8" s="66"/>
      <c r="O8" s="66"/>
    </row>
    <row r="9" spans="1:18" ht="20.100000000000001" customHeight="1" x14ac:dyDescent="0.2">
      <c r="A9" s="39"/>
      <c r="B9" s="39"/>
      <c r="C9" s="39"/>
      <c r="D9" s="39"/>
      <c r="E9" s="39"/>
      <c r="F9" s="39"/>
      <c r="G9" s="39"/>
      <c r="H9" s="39"/>
      <c r="I9" s="39"/>
      <c r="J9" s="39"/>
      <c r="K9" s="38"/>
      <c r="L9" s="38"/>
      <c r="M9" s="38"/>
      <c r="N9" s="38"/>
      <c r="O9" s="38"/>
    </row>
    <row r="10" spans="1:18" ht="15" customHeight="1" x14ac:dyDescent="0.2">
      <c r="A10" s="403" t="s">
        <v>106</v>
      </c>
      <c r="B10" s="403"/>
      <c r="C10" s="403"/>
      <c r="D10" s="50">
        <f>IF(Fire_Type=2,Total.Volume,0)</f>
        <v>0</v>
      </c>
      <c r="E10" s="406" t="str">
        <f>IF(Fire_Type=2,'Protected Areas'!B27,"")</f>
        <v/>
      </c>
      <c r="F10" s="406"/>
      <c r="G10" s="403" t="s">
        <v>141</v>
      </c>
      <c r="H10" s="403"/>
      <c r="I10" s="50">
        <f>IF(Fire_Type=2,IF(Total.Volume&lt;=3.96,1.15,IF(Total.Volume&lt;=14.15,1.07,IF(Total.Volume&lt;=45.28,1.01,IF(Total.Volume&lt;=127.35,0.9,IF(Total.Volume&lt;=1415,0.8,0.74))))),0)</f>
        <v>0</v>
      </c>
      <c r="J10" s="51" t="s">
        <v>130</v>
      </c>
      <c r="K10" s="38"/>
      <c r="O10" s="38"/>
    </row>
    <row r="11" spans="1:18" ht="15" customHeight="1" x14ac:dyDescent="0.2">
      <c r="A11" s="61"/>
      <c r="B11" s="61"/>
      <c r="C11" s="61"/>
      <c r="D11" s="62"/>
      <c r="E11" s="63"/>
      <c r="F11" s="63"/>
      <c r="G11" s="61"/>
      <c r="H11" s="61"/>
      <c r="I11" s="62"/>
      <c r="J11" s="51"/>
      <c r="K11" s="38"/>
      <c r="O11" s="38"/>
    </row>
    <row r="12" spans="1:18" ht="15" customHeight="1" x14ac:dyDescent="0.2">
      <c r="A12" s="403" t="s">
        <v>134</v>
      </c>
      <c r="B12" s="403"/>
      <c r="C12" s="403"/>
      <c r="D12" s="50">
        <f>IF(Fire_Type=2,Total.Volume.1,0)</f>
        <v>0</v>
      </c>
      <c r="E12" s="406" t="str">
        <f>IF(Fire_Type=2,'Protected Areas'!B28,"")</f>
        <v/>
      </c>
      <c r="F12" s="406"/>
      <c r="G12" s="403" t="s">
        <v>107</v>
      </c>
      <c r="H12" s="403"/>
      <c r="I12" s="50">
        <f>IF(Number_of_Enclosures&gt;=1,IF(Fire_Type=2,IF(Total.Volume.1&lt;=3.96,1.15,IF(Total.Volume.1&lt;=14.15,1.07,IF(Total.Volume.1&lt;=45.28,1.01,IF(Total.Volume.1&lt;=127.35,0.9,IF(Total.Volume.1&lt;=1415,0.8,0.74))))),0),0)</f>
        <v>0</v>
      </c>
      <c r="J12" s="51" t="s">
        <v>130</v>
      </c>
      <c r="K12" s="38"/>
      <c r="O12" s="38"/>
    </row>
    <row r="13" spans="1:18" ht="15" customHeight="1" x14ac:dyDescent="0.2">
      <c r="A13" s="403" t="s">
        <v>135</v>
      </c>
      <c r="B13" s="403"/>
      <c r="C13" s="403"/>
      <c r="D13" s="50">
        <f>IF(Fire_Type=2,Total.Volume.2,0)</f>
        <v>0</v>
      </c>
      <c r="E13" s="406" t="str">
        <f>IF(Fire_Type=2,'Protected Areas'!B29,"")</f>
        <v/>
      </c>
      <c r="F13" s="406"/>
      <c r="G13" s="403" t="s">
        <v>108</v>
      </c>
      <c r="H13" s="403"/>
      <c r="I13" s="50">
        <f>IF(Number_of_Enclosures&gt;=2,IF(Fire_Type=2,IF(Total.Volume.2&lt;=3.96,1.15,IF(Total.Volume.2&lt;=14.15,1.07,IF(Total.Volume.2&lt;=45.28,1.01,IF(Total.Volume.2&lt;=127.35,0.9,IF(Total.Volume.2&lt;=1415,0.8,0.74))))),0),0)</f>
        <v>0</v>
      </c>
      <c r="J13" s="51" t="s">
        <v>130</v>
      </c>
      <c r="K13" s="38"/>
      <c r="O13" s="38"/>
    </row>
    <row r="14" spans="1:18" ht="15" customHeight="1" x14ac:dyDescent="0.2">
      <c r="A14" s="403" t="s">
        <v>136</v>
      </c>
      <c r="B14" s="403"/>
      <c r="C14" s="403"/>
      <c r="D14" s="50">
        <f>IF(Fire_Type=2,Total.Volume.3,0)</f>
        <v>0</v>
      </c>
      <c r="E14" s="406" t="str">
        <f>IF(Fire_Type=2,'Protected Areas'!B30,"")</f>
        <v/>
      </c>
      <c r="F14" s="406"/>
      <c r="G14" s="403" t="s">
        <v>109</v>
      </c>
      <c r="H14" s="403"/>
      <c r="I14" s="50">
        <f>IF(Number_of_Enclosures&gt;=3,IF(Fire_Type=2,IF(Total.Volume.3&lt;=3.96,1.15,IF(Total.Volume.3&lt;=14.15,1.07,IF(Total.Volume.3&lt;=45.28,1.01,IF(Total.Volume.3&lt;=127.35,0.9,IF(Total.Volume.3&lt;=1415,0.8,0.74))))),0),0)</f>
        <v>0</v>
      </c>
      <c r="J14" s="51" t="s">
        <v>130</v>
      </c>
      <c r="K14" s="38"/>
      <c r="O14" s="38"/>
    </row>
    <row r="15" spans="1:18" ht="15" customHeight="1" x14ac:dyDescent="0.2">
      <c r="A15" s="403" t="s">
        <v>137</v>
      </c>
      <c r="B15" s="403"/>
      <c r="C15" s="403"/>
      <c r="D15" s="50">
        <f>IF(Fire_Type=2,Total.Volume.4,0)</f>
        <v>0</v>
      </c>
      <c r="E15" s="406" t="str">
        <f>IF(Fire_Type=2,'Protected Areas'!B31,"")</f>
        <v/>
      </c>
      <c r="F15" s="406"/>
      <c r="G15" s="403" t="s">
        <v>125</v>
      </c>
      <c r="H15" s="403"/>
      <c r="I15" s="50">
        <f>IF(Number_of_Enclosures&gt;=4,IF(Fire_Type=2,IF(Total.Volume.4&lt;=3.96,1.15,IF(Total.Volume.4&lt;=14.15,1.07,IF(Total.Volume.4&lt;=45.28,1.01,IF(Total.Volume.4&lt;=127.35,0.9,IF(Total.Volume.4&lt;=1415,0.8,0.74))))),0),0)</f>
        <v>0</v>
      </c>
      <c r="J15" s="51" t="s">
        <v>131</v>
      </c>
      <c r="K15" s="38"/>
      <c r="O15" s="38"/>
    </row>
    <row r="16" spans="1:18" ht="15" customHeight="1" x14ac:dyDescent="0.2">
      <c r="A16" s="403" t="s">
        <v>138</v>
      </c>
      <c r="B16" s="403"/>
      <c r="C16" s="403"/>
      <c r="D16" s="50">
        <f>IF(Fire_Type=2,Total.Volume.5,0)</f>
        <v>0</v>
      </c>
      <c r="E16" s="406" t="str">
        <f>IF(Fire_Type=2,'Protected Areas'!B32,"")</f>
        <v/>
      </c>
      <c r="F16" s="406"/>
      <c r="G16" s="403" t="s">
        <v>126</v>
      </c>
      <c r="H16" s="403"/>
      <c r="I16" s="50">
        <f>IF(Number_of_Enclosures&gt;=5,IF(Fire_Type=2,IF(Total.Volume.5&lt;=3.96,1.15,IF(Total.Volume.5&lt;=14.15,1.07,IF(Total.Volume.5&lt;=45.28,1.01,IF(Total.Volume.5&lt;=127.35,0.9,IF(Total.Volume.5&lt;=1415,0.8,0.74))))),0),0)</f>
        <v>0</v>
      </c>
      <c r="J16" s="51" t="s">
        <v>132</v>
      </c>
      <c r="K16" s="38"/>
      <c r="O16" s="38"/>
    </row>
    <row r="17" spans="1:15" s="40" customFormat="1" ht="20.100000000000001" customHeight="1" x14ac:dyDescent="0.2">
      <c r="A17" s="401"/>
      <c r="B17" s="401"/>
      <c r="C17" s="401"/>
      <c r="D17" s="401"/>
      <c r="E17" s="401"/>
      <c r="F17" s="401"/>
      <c r="G17" s="401"/>
      <c r="H17" s="401"/>
      <c r="I17" s="120"/>
      <c r="J17" s="120"/>
    </row>
    <row r="18" spans="1:15" ht="30" customHeight="1" x14ac:dyDescent="0.2">
      <c r="A18" s="404" t="s">
        <v>133</v>
      </c>
      <c r="B18" s="405"/>
      <c r="C18" s="405"/>
      <c r="D18" s="405"/>
      <c r="E18" s="405"/>
      <c r="F18" s="405"/>
      <c r="G18" s="405"/>
      <c r="H18" s="405"/>
      <c r="I18" s="405"/>
      <c r="J18" s="405"/>
      <c r="K18" s="145"/>
      <c r="L18" s="146"/>
      <c r="M18" s="146"/>
      <c r="N18" s="146"/>
      <c r="O18" s="146"/>
    </row>
    <row r="19" spans="1:15" ht="14.25" x14ac:dyDescent="0.2">
      <c r="A19" s="402" t="s">
        <v>3</v>
      </c>
      <c r="B19" s="402"/>
      <c r="C19" s="402"/>
      <c r="D19" s="402" t="s">
        <v>2</v>
      </c>
      <c r="E19" s="402"/>
      <c r="F19" s="402"/>
      <c r="G19" s="402"/>
      <c r="H19" s="402" t="s">
        <v>104</v>
      </c>
      <c r="I19" s="402"/>
      <c r="J19" s="402"/>
      <c r="K19" s="146"/>
      <c r="L19" s="146"/>
      <c r="M19" s="146"/>
      <c r="N19" s="146"/>
      <c r="O19" s="146"/>
    </row>
    <row r="20" spans="1:15" ht="15" customHeight="1" x14ac:dyDescent="0.2">
      <c r="A20" s="403" t="s">
        <v>127</v>
      </c>
      <c r="B20" s="403"/>
      <c r="C20" s="403"/>
      <c r="D20" s="403" t="s">
        <v>128</v>
      </c>
      <c r="E20" s="403"/>
      <c r="F20" s="403" t="s">
        <v>129</v>
      </c>
      <c r="G20" s="403"/>
      <c r="H20" s="403" t="s">
        <v>4</v>
      </c>
      <c r="I20" s="403"/>
      <c r="J20" s="403"/>
      <c r="K20" s="146"/>
      <c r="L20" s="146"/>
      <c r="M20" s="146"/>
      <c r="N20" s="146"/>
      <c r="O20" s="146"/>
    </row>
    <row r="21" spans="1:15" ht="24.95" customHeight="1" x14ac:dyDescent="0.2">
      <c r="A21" s="398" t="s">
        <v>54</v>
      </c>
      <c r="B21" s="398"/>
      <c r="C21" s="398"/>
      <c r="D21" s="398">
        <v>0.86</v>
      </c>
      <c r="E21" s="398"/>
      <c r="F21" s="398">
        <v>1.1499999999999999</v>
      </c>
      <c r="G21" s="398"/>
      <c r="H21" s="398">
        <v>0</v>
      </c>
      <c r="I21" s="398"/>
      <c r="J21" s="398"/>
      <c r="K21" s="146"/>
      <c r="L21" s="146"/>
      <c r="M21" s="146"/>
      <c r="N21" s="146"/>
      <c r="O21" s="146"/>
    </row>
    <row r="22" spans="1:15" ht="24.95" customHeight="1" x14ac:dyDescent="0.2">
      <c r="A22" s="400" t="s">
        <v>55</v>
      </c>
      <c r="B22" s="400"/>
      <c r="C22" s="400"/>
      <c r="D22" s="400">
        <v>0.93</v>
      </c>
      <c r="E22" s="400"/>
      <c r="F22" s="400">
        <v>1.07</v>
      </c>
      <c r="G22" s="400"/>
      <c r="H22" s="400">
        <v>4.5</v>
      </c>
      <c r="I22" s="400"/>
      <c r="J22" s="400"/>
      <c r="K22" s="146"/>
      <c r="L22" s="146"/>
      <c r="M22" s="146"/>
      <c r="N22" s="146"/>
      <c r="O22" s="146"/>
    </row>
    <row r="23" spans="1:15" ht="24.95" customHeight="1" x14ac:dyDescent="0.2">
      <c r="A23" s="399" t="s">
        <v>56</v>
      </c>
      <c r="B23" s="399"/>
      <c r="C23" s="399"/>
      <c r="D23" s="399">
        <v>0.99</v>
      </c>
      <c r="E23" s="399"/>
      <c r="F23" s="398">
        <v>1.01</v>
      </c>
      <c r="G23" s="398"/>
      <c r="H23" s="398">
        <v>15.1</v>
      </c>
      <c r="I23" s="398"/>
      <c r="J23" s="398"/>
      <c r="K23" s="146"/>
      <c r="L23" s="146"/>
      <c r="M23" s="146"/>
      <c r="N23" s="146"/>
      <c r="O23" s="146"/>
    </row>
    <row r="24" spans="1:15" ht="24.95" customHeight="1" x14ac:dyDescent="0.2">
      <c r="A24" s="400" t="s">
        <v>57</v>
      </c>
      <c r="B24" s="400"/>
      <c r="C24" s="400"/>
      <c r="D24" s="400">
        <v>1.1100000000000001</v>
      </c>
      <c r="E24" s="400"/>
      <c r="F24" s="400">
        <v>0.9</v>
      </c>
      <c r="G24" s="400"/>
      <c r="H24" s="400">
        <v>45.4</v>
      </c>
      <c r="I24" s="400"/>
      <c r="J24" s="400"/>
      <c r="K24" s="146"/>
      <c r="L24" s="146"/>
      <c r="M24" s="146"/>
      <c r="N24" s="146"/>
      <c r="O24" s="146"/>
    </row>
    <row r="25" spans="1:15" ht="24.95" customHeight="1" x14ac:dyDescent="0.2">
      <c r="A25" s="398" t="s">
        <v>58</v>
      </c>
      <c r="B25" s="398"/>
      <c r="C25" s="398"/>
      <c r="D25" s="398">
        <v>1.25</v>
      </c>
      <c r="E25" s="398"/>
      <c r="F25" s="398">
        <v>0.8</v>
      </c>
      <c r="G25" s="398"/>
      <c r="H25" s="398">
        <v>113.5</v>
      </c>
      <c r="I25" s="398"/>
      <c r="J25" s="398"/>
      <c r="K25" s="146"/>
      <c r="L25" s="146"/>
      <c r="M25" s="146"/>
      <c r="N25" s="146"/>
      <c r="O25" s="146"/>
    </row>
    <row r="26" spans="1:15" ht="24.95" customHeight="1" x14ac:dyDescent="0.2">
      <c r="A26" s="400" t="s">
        <v>59</v>
      </c>
      <c r="B26" s="400"/>
      <c r="C26" s="400"/>
      <c r="D26" s="400">
        <v>1.37</v>
      </c>
      <c r="E26" s="400"/>
      <c r="F26" s="400">
        <v>0.74</v>
      </c>
      <c r="G26" s="400"/>
      <c r="H26" s="400">
        <v>1135</v>
      </c>
      <c r="I26" s="400"/>
      <c r="J26" s="400"/>
      <c r="K26" s="146"/>
      <c r="L26" s="146"/>
      <c r="M26" s="146"/>
      <c r="N26" s="146"/>
      <c r="O26" s="146"/>
    </row>
    <row r="27" spans="1:15" ht="24.95" customHeight="1" x14ac:dyDescent="0.2">
      <c r="A27" s="43"/>
      <c r="B27" s="43"/>
      <c r="C27" s="43"/>
      <c r="D27" s="43"/>
      <c r="E27" s="43"/>
      <c r="F27" s="43"/>
      <c r="G27" s="43"/>
      <c r="H27" s="43"/>
      <c r="I27" s="43"/>
      <c r="J27" s="43"/>
      <c r="K27" s="146"/>
      <c r="L27" s="146"/>
      <c r="M27" s="146"/>
      <c r="N27" s="146"/>
      <c r="O27" s="146"/>
    </row>
    <row r="28" spans="1:15" x14ac:dyDescent="0.2">
      <c r="A28" s="147"/>
      <c r="B28" s="147"/>
      <c r="C28" s="147"/>
      <c r="D28" s="147"/>
      <c r="E28" s="147"/>
      <c r="F28" s="147"/>
      <c r="G28" s="147"/>
      <c r="H28" s="147"/>
      <c r="I28" s="147"/>
      <c r="J28" s="147"/>
      <c r="K28" s="146"/>
      <c r="L28" s="146"/>
      <c r="M28" s="146"/>
      <c r="N28" s="146"/>
      <c r="O28" s="146"/>
    </row>
    <row r="29" spans="1:15" x14ac:dyDescent="0.2">
      <c r="A29" s="148"/>
      <c r="B29" s="148"/>
      <c r="C29" s="148"/>
      <c r="D29" s="148"/>
      <c r="E29" s="148"/>
      <c r="F29" s="149"/>
      <c r="G29" s="149"/>
      <c r="H29" s="149"/>
      <c r="I29" s="149"/>
      <c r="J29" s="149"/>
      <c r="K29" s="146"/>
      <c r="L29" s="146"/>
      <c r="M29" s="146"/>
      <c r="N29" s="146"/>
      <c r="O29" s="146"/>
    </row>
    <row r="30" spans="1:15" x14ac:dyDescent="0.2">
      <c r="A30" s="149"/>
      <c r="B30" s="149"/>
      <c r="C30" s="149"/>
      <c r="D30" s="149"/>
      <c r="E30" s="149"/>
      <c r="F30" s="149"/>
      <c r="G30" s="149"/>
      <c r="H30" s="149"/>
      <c r="I30" s="149"/>
      <c r="J30" s="149"/>
      <c r="K30" s="146"/>
      <c r="L30" s="146"/>
      <c r="M30" s="146"/>
      <c r="N30" s="146"/>
      <c r="O30" s="146"/>
    </row>
    <row r="31" spans="1:15" x14ac:dyDescent="0.2">
      <c r="A31" s="149"/>
      <c r="B31" s="149"/>
      <c r="C31" s="149"/>
      <c r="D31" s="149"/>
      <c r="E31" s="149"/>
      <c r="F31" s="149"/>
      <c r="G31" s="149"/>
      <c r="H31" s="149"/>
      <c r="I31" s="149"/>
      <c r="J31" s="149"/>
      <c r="K31" s="146"/>
      <c r="L31" s="146"/>
      <c r="M31" s="146"/>
      <c r="N31" s="146"/>
      <c r="O31" s="146"/>
    </row>
    <row r="32" spans="1:15" x14ac:dyDescent="0.2">
      <c r="A32" s="146"/>
      <c r="B32" s="146"/>
      <c r="C32" s="146"/>
      <c r="D32" s="146"/>
      <c r="E32" s="146"/>
      <c r="F32" s="146"/>
      <c r="G32" s="146"/>
      <c r="H32" s="146"/>
      <c r="I32" s="146"/>
      <c r="J32" s="146"/>
      <c r="K32" s="146"/>
      <c r="L32" s="146"/>
      <c r="M32" s="146"/>
      <c r="N32" s="146"/>
      <c r="O32" s="146"/>
    </row>
    <row r="33" spans="1:15" x14ac:dyDescent="0.2">
      <c r="A33" s="146"/>
      <c r="B33" s="146"/>
      <c r="C33" s="146"/>
      <c r="D33" s="146"/>
      <c r="E33" s="146"/>
      <c r="F33" s="146"/>
      <c r="G33" s="146"/>
      <c r="H33" s="146"/>
      <c r="I33" s="146"/>
      <c r="J33" s="146"/>
      <c r="K33" s="146"/>
      <c r="L33" s="146"/>
      <c r="M33" s="146"/>
      <c r="N33" s="146"/>
      <c r="O33" s="146"/>
    </row>
    <row r="34" spans="1:15" x14ac:dyDescent="0.2">
      <c r="A34" s="146"/>
      <c r="B34" s="146"/>
      <c r="C34" s="146"/>
      <c r="D34" s="146"/>
      <c r="E34" s="146"/>
      <c r="F34" s="146"/>
      <c r="G34" s="146"/>
      <c r="H34" s="146"/>
      <c r="I34" s="146"/>
      <c r="J34" s="146"/>
      <c r="K34" s="146"/>
      <c r="L34" s="146"/>
      <c r="M34" s="146"/>
      <c r="N34" s="146"/>
      <c r="O34" s="146"/>
    </row>
    <row r="35" spans="1:15" x14ac:dyDescent="0.2">
      <c r="A35" s="146"/>
      <c r="B35" s="146"/>
      <c r="C35" s="146"/>
      <c r="D35" s="146"/>
      <c r="E35" s="146"/>
      <c r="F35" s="146"/>
      <c r="G35" s="146"/>
      <c r="H35" s="146"/>
      <c r="I35" s="146"/>
      <c r="J35" s="146"/>
      <c r="K35" s="146"/>
      <c r="L35" s="146"/>
      <c r="M35" s="146"/>
      <c r="N35" s="146"/>
      <c r="O35" s="146"/>
    </row>
    <row r="36" spans="1:15" x14ac:dyDescent="0.2">
      <c r="A36" s="146"/>
      <c r="B36" s="146"/>
      <c r="C36" s="146"/>
      <c r="D36" s="146"/>
      <c r="E36" s="146"/>
      <c r="F36" s="146"/>
      <c r="G36" s="146"/>
      <c r="H36" s="146"/>
      <c r="I36" s="146"/>
      <c r="J36" s="146"/>
      <c r="K36" s="146"/>
      <c r="L36" s="146"/>
      <c r="M36" s="146"/>
      <c r="N36" s="146"/>
      <c r="O36" s="146"/>
    </row>
    <row r="37" spans="1:15" x14ac:dyDescent="0.2">
      <c r="A37" s="146"/>
      <c r="B37" s="146"/>
      <c r="C37" s="146"/>
      <c r="D37" s="146"/>
      <c r="E37" s="146"/>
      <c r="F37" s="146"/>
      <c r="G37" s="146"/>
      <c r="H37" s="146"/>
      <c r="I37" s="146"/>
      <c r="J37" s="146"/>
      <c r="K37" s="146"/>
      <c r="L37" s="146"/>
      <c r="M37" s="146"/>
      <c r="N37" s="146"/>
      <c r="O37" s="146"/>
    </row>
    <row r="38" spans="1:15" x14ac:dyDescent="0.2">
      <c r="A38" s="146"/>
      <c r="B38" s="146"/>
      <c r="C38" s="146"/>
      <c r="D38" s="146"/>
      <c r="E38" s="146"/>
      <c r="F38" s="146"/>
      <c r="G38" s="146"/>
      <c r="H38" s="146"/>
      <c r="I38" s="146"/>
      <c r="J38" s="146"/>
      <c r="K38" s="146"/>
      <c r="L38" s="146"/>
      <c r="M38" s="146"/>
      <c r="N38" s="146"/>
      <c r="O38" s="146"/>
    </row>
    <row r="39" spans="1:15" x14ac:dyDescent="0.2">
      <c r="A39" s="146"/>
      <c r="B39" s="146"/>
      <c r="C39" s="146"/>
      <c r="D39" s="146"/>
      <c r="E39" s="146"/>
      <c r="F39" s="146"/>
      <c r="G39" s="146"/>
      <c r="H39" s="146"/>
      <c r="I39" s="146"/>
      <c r="J39" s="146"/>
      <c r="K39" s="146"/>
      <c r="L39" s="146"/>
      <c r="M39" s="146"/>
      <c r="N39" s="146"/>
      <c r="O39" s="146"/>
    </row>
    <row r="40" spans="1:15" x14ac:dyDescent="0.2">
      <c r="A40" s="146"/>
      <c r="B40" s="146"/>
      <c r="C40" s="146"/>
      <c r="D40" s="146"/>
      <c r="E40" s="146"/>
      <c r="F40" s="146"/>
      <c r="G40" s="146"/>
      <c r="H40" s="146"/>
      <c r="I40" s="146"/>
      <c r="J40" s="146"/>
      <c r="K40" s="146"/>
      <c r="L40" s="146"/>
      <c r="M40" s="146"/>
      <c r="N40" s="146"/>
      <c r="O40" s="146"/>
    </row>
    <row r="41" spans="1:15" x14ac:dyDescent="0.2">
      <c r="A41" s="146"/>
      <c r="B41" s="146"/>
      <c r="C41" s="146"/>
      <c r="D41" s="146"/>
      <c r="E41" s="146"/>
      <c r="F41" s="146"/>
      <c r="G41" s="146"/>
      <c r="H41" s="146"/>
      <c r="I41" s="146"/>
      <c r="J41" s="146"/>
      <c r="K41" s="146"/>
      <c r="L41" s="146"/>
      <c r="M41" s="146"/>
      <c r="N41" s="146"/>
      <c r="O41" s="146"/>
    </row>
    <row r="42" spans="1:15" x14ac:dyDescent="0.2">
      <c r="A42" s="146"/>
      <c r="B42" s="146"/>
      <c r="C42" s="146"/>
      <c r="D42" s="146"/>
      <c r="E42" s="146"/>
      <c r="F42" s="146"/>
      <c r="G42" s="146"/>
      <c r="H42" s="146"/>
      <c r="I42" s="146"/>
      <c r="J42" s="146"/>
      <c r="K42" s="146"/>
      <c r="L42" s="146"/>
      <c r="M42" s="146"/>
      <c r="N42" s="146"/>
      <c r="O42" s="146"/>
    </row>
    <row r="43" spans="1:15" x14ac:dyDescent="0.2">
      <c r="A43" s="146"/>
      <c r="B43" s="146"/>
      <c r="C43" s="146"/>
      <c r="D43" s="146"/>
      <c r="E43" s="146"/>
      <c r="F43" s="146"/>
      <c r="G43" s="146"/>
      <c r="H43" s="146"/>
      <c r="I43" s="146"/>
      <c r="J43" s="146"/>
      <c r="K43" s="146"/>
      <c r="L43" s="146"/>
      <c r="M43" s="146"/>
      <c r="N43" s="146"/>
      <c r="O43" s="146"/>
    </row>
    <row r="44" spans="1:15" x14ac:dyDescent="0.2">
      <c r="A44" s="146"/>
      <c r="B44" s="146"/>
      <c r="C44" s="146"/>
      <c r="D44" s="146"/>
      <c r="E44" s="146"/>
      <c r="F44" s="146"/>
      <c r="G44" s="146"/>
      <c r="H44" s="146"/>
      <c r="I44" s="146"/>
      <c r="J44" s="146"/>
      <c r="K44" s="146"/>
      <c r="L44" s="146"/>
      <c r="M44" s="146"/>
      <c r="N44" s="146"/>
      <c r="O44" s="146"/>
    </row>
    <row r="45" spans="1:15" x14ac:dyDescent="0.2">
      <c r="A45" s="146"/>
      <c r="B45" s="146"/>
      <c r="C45" s="146"/>
      <c r="D45" s="146"/>
      <c r="E45" s="146"/>
      <c r="F45" s="146"/>
      <c r="G45" s="146"/>
      <c r="H45" s="146"/>
      <c r="I45" s="146"/>
      <c r="J45" s="146"/>
      <c r="K45" s="146"/>
      <c r="L45" s="146"/>
      <c r="M45" s="146"/>
      <c r="N45" s="146"/>
      <c r="O45" s="146"/>
    </row>
  </sheetData>
  <sheetProtection password="8BE7" sheet="1" objects="1" scenarios="1"/>
  <mergeCells count="57">
    <mergeCell ref="A10:C10"/>
    <mergeCell ref="E10:F10"/>
    <mergeCell ref="G10:H10"/>
    <mergeCell ref="A15:C15"/>
    <mergeCell ref="A6:J6"/>
    <mergeCell ref="A8:J8"/>
    <mergeCell ref="A13:C13"/>
    <mergeCell ref="A14:C14"/>
    <mergeCell ref="G13:H13"/>
    <mergeCell ref="G14:H14"/>
    <mergeCell ref="E12:F12"/>
    <mergeCell ref="E13:F13"/>
    <mergeCell ref="E14:F14"/>
    <mergeCell ref="A16:C16"/>
    <mergeCell ref="E15:F15"/>
    <mergeCell ref="E16:F16"/>
    <mergeCell ref="G15:H15"/>
    <mergeCell ref="G16:H16"/>
    <mergeCell ref="F22:G22"/>
    <mergeCell ref="D20:E20"/>
    <mergeCell ref="D21:E21"/>
    <mergeCell ref="D22:E22"/>
    <mergeCell ref="H21:J21"/>
    <mergeCell ref="H22:J22"/>
    <mergeCell ref="A18:J18"/>
    <mergeCell ref="H19:J19"/>
    <mergeCell ref="H20:J20"/>
    <mergeCell ref="D19:G19"/>
    <mergeCell ref="F21:G21"/>
    <mergeCell ref="H26:J26"/>
    <mergeCell ref="H25:J25"/>
    <mergeCell ref="H24:J24"/>
    <mergeCell ref="D25:E25"/>
    <mergeCell ref="A24:C24"/>
    <mergeCell ref="A25:C25"/>
    <mergeCell ref="D24:E24"/>
    <mergeCell ref="F24:G24"/>
    <mergeCell ref="D26:E26"/>
    <mergeCell ref="A26:C26"/>
    <mergeCell ref="F26:G26"/>
    <mergeCell ref="F25:G25"/>
    <mergeCell ref="A1:J1"/>
    <mergeCell ref="A2:J2"/>
    <mergeCell ref="A3:J3"/>
    <mergeCell ref="A4:J4"/>
    <mergeCell ref="H23:J23"/>
    <mergeCell ref="D23:E23"/>
    <mergeCell ref="F23:G23"/>
    <mergeCell ref="A21:C21"/>
    <mergeCell ref="A22:C22"/>
    <mergeCell ref="A23:C23"/>
    <mergeCell ref="A17:H17"/>
    <mergeCell ref="A19:C19"/>
    <mergeCell ref="A20:C20"/>
    <mergeCell ref="F20:G20"/>
    <mergeCell ref="G12:H12"/>
    <mergeCell ref="A12:C12"/>
  </mergeCells>
  <phoneticPr fontId="3" type="noConversion"/>
  <hyperlinks>
    <hyperlink ref="L2:O2" location="'Protected Areas'!A1" display="back to Protected Areas"/>
  </hyperlinks>
  <printOptions horizontalCentered="1"/>
  <pageMargins left="0.5" right="0.5" top="0.7" bottom="0.5" header="0.5" footer="0.5"/>
  <pageSetup paperSize="9" orientation="portrait" horizontalDpi="300" verticalDpi="300" r:id="rId1"/>
  <headerFooter alignWithMargins="0">
    <oddHeader>&amp;L&amp;G</oddHeader>
    <oddFooter>&amp;L&amp;"Cambria,Regular"&amp;8Tel  : +98 ( 21 ) 4420 1601
&amp;K00+000Tel  :&amp;K000000 +98 ( 21 ) 4420 1768
Fax : +98 ( 21 ) 4420 1934&amp;C&amp;"Cambria,Regular"&amp;8-  4  -&amp;R&amp;"Cambria,Regular"&amp;8Design by Ali  Cheraghi
( BSEE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5BF1ACF-B14A-4F88-80EB-EF512D6B90E6}">
            <xm:f>'Protected Areas'!$D$13=1</xm:f>
            <x14:dxf>
              <font>
                <color theme="0"/>
              </font>
              <fill>
                <patternFill>
                  <bgColor rgb="FFFF0000"/>
                </patternFill>
              </fill>
              <border>
                <left style="dotted">
                  <color auto="1"/>
                </left>
                <right style="dotted">
                  <color auto="1"/>
                </right>
                <top style="dotted">
                  <color auto="1"/>
                </top>
                <bottom style="dotted">
                  <color auto="1"/>
                </bottom>
                <vertical/>
                <horizontal/>
              </border>
            </x14:dxf>
          </x14:cfRule>
          <xm:sqref>A6:J6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tabColor rgb="FFFFC000"/>
    <pageSetUpPr fitToPage="1"/>
  </sheetPr>
  <dimension ref="A1:R54"/>
  <sheetViews>
    <sheetView showGridLines="0" view="pageBreakPreview" zoomScale="110" workbookViewId="0">
      <pane ySplit="9" topLeftCell="A10" activePane="bottomLeft" state="frozen"/>
      <selection activeCell="A4" sqref="A4:Q4"/>
      <selection pane="bottomLeft" activeCell="D10" sqref="D10:D49"/>
    </sheetView>
  </sheetViews>
  <sheetFormatPr defaultColWidth="9.140625" defaultRowHeight="12.75" x14ac:dyDescent="0.2"/>
  <cols>
    <col min="1" max="1" width="34.42578125" style="27" bestFit="1" customWidth="1"/>
    <col min="2" max="3" width="22.7109375" style="27" customWidth="1"/>
    <col min="4" max="4" width="17.5703125" style="27" customWidth="1"/>
    <col min="5" max="16384" width="9.140625" style="27"/>
  </cols>
  <sheetData>
    <row r="1" spans="1:18" s="1" customFormat="1" ht="30" customHeight="1" x14ac:dyDescent="0.2">
      <c r="A1" s="270" t="s">
        <v>153</v>
      </c>
      <c r="B1" s="270"/>
      <c r="C1" s="270"/>
      <c r="D1" s="270"/>
      <c r="E1" s="74"/>
      <c r="F1" s="74"/>
      <c r="G1" s="74"/>
      <c r="H1" s="74"/>
      <c r="I1" s="74"/>
      <c r="J1" s="74"/>
    </row>
    <row r="2" spans="1:18" s="1" customFormat="1" ht="20.100000000000001" customHeight="1" x14ac:dyDescent="0.25">
      <c r="A2" s="340" t="s">
        <v>88</v>
      </c>
      <c r="B2" s="340"/>
      <c r="C2" s="340"/>
      <c r="D2" s="340"/>
      <c r="E2" s="75"/>
      <c r="F2" s="75"/>
      <c r="G2" s="75"/>
      <c r="H2" s="75"/>
      <c r="I2" s="75"/>
      <c r="J2" s="75"/>
      <c r="K2" s="113" t="s">
        <v>147</v>
      </c>
      <c r="L2" s="76">
        <v>9.7999999999999997E-3</v>
      </c>
      <c r="M2" s="112"/>
      <c r="N2" s="112"/>
      <c r="O2" s="112"/>
      <c r="P2" s="27"/>
      <c r="Q2" s="27"/>
      <c r="R2" s="27"/>
    </row>
    <row r="3" spans="1:18" s="1" customFormat="1" ht="20.100000000000001" customHeight="1" x14ac:dyDescent="0.2">
      <c r="A3" s="271" t="s">
        <v>157</v>
      </c>
      <c r="B3" s="271"/>
      <c r="C3" s="271"/>
      <c r="D3" s="271"/>
      <c r="E3" s="77"/>
      <c r="F3" s="338" t="s">
        <v>169</v>
      </c>
      <c r="G3" s="338"/>
      <c r="H3" s="338"/>
      <c r="I3" s="338"/>
      <c r="J3" s="338"/>
      <c r="K3" s="113" t="s">
        <v>148</v>
      </c>
      <c r="L3" s="76">
        <v>-5.1999999999999998E-2</v>
      </c>
    </row>
    <row r="4" spans="1:18" s="1" customFormat="1" ht="30" customHeight="1" x14ac:dyDescent="0.2">
      <c r="A4" s="374" t="s">
        <v>165</v>
      </c>
      <c r="B4" s="374"/>
      <c r="C4" s="374"/>
      <c r="D4" s="374"/>
      <c r="E4" s="78"/>
      <c r="F4" s="338" t="s">
        <v>151</v>
      </c>
      <c r="G4" s="338"/>
      <c r="H4" s="338"/>
      <c r="I4" s="338"/>
      <c r="J4" s="338"/>
      <c r="K4" s="113" t="s">
        <v>149</v>
      </c>
      <c r="L4" s="76">
        <v>1.6259999999999999</v>
      </c>
    </row>
    <row r="5" spans="1:18" s="1" customFormat="1" ht="15" customHeight="1" x14ac:dyDescent="0.2">
      <c r="A5" s="156"/>
      <c r="B5" s="156"/>
      <c r="C5" s="156"/>
      <c r="D5" s="156"/>
      <c r="E5" s="78"/>
      <c r="F5" s="160"/>
      <c r="G5" s="160"/>
      <c r="H5" s="160"/>
      <c r="I5" s="160"/>
      <c r="J5" s="160"/>
      <c r="K5" s="161"/>
      <c r="L5" s="76"/>
    </row>
    <row r="6" spans="1:18" s="70" customFormat="1" ht="30" customHeight="1" x14ac:dyDescent="0.25">
      <c r="A6" s="412" t="str">
        <f>IF(Fire_Type=2,Project.Name,"This Page is incorrect Field, You Selected Deep Seated Fires Field but This Field is acoording to Surface Fires")</f>
        <v>This Page is incorrect Field, You Selected Deep Seated Fires Field but This Field is acoording to Surface Fires</v>
      </c>
      <c r="B6" s="412"/>
      <c r="C6" s="412"/>
      <c r="D6" s="412"/>
      <c r="E6" s="66"/>
      <c r="F6" s="66"/>
      <c r="G6" s="66"/>
      <c r="H6" s="66"/>
      <c r="I6" s="66"/>
      <c r="J6" s="66"/>
      <c r="K6" s="66"/>
      <c r="L6" s="66"/>
      <c r="M6" s="66"/>
      <c r="N6" s="66"/>
      <c r="O6" s="66"/>
    </row>
    <row r="7" spans="1:18" s="70" customFormat="1" ht="15" customHeight="1" x14ac:dyDescent="0.25">
      <c r="A7" s="410"/>
      <c r="B7" s="410"/>
      <c r="C7" s="410"/>
      <c r="D7" s="410"/>
      <c r="E7" s="66"/>
      <c r="F7" s="66"/>
      <c r="G7" s="66"/>
      <c r="H7" s="66"/>
      <c r="I7" s="66"/>
      <c r="J7" s="66"/>
      <c r="K7" s="66"/>
      <c r="L7" s="66"/>
      <c r="M7" s="66"/>
      <c r="N7" s="66"/>
      <c r="O7" s="66"/>
    </row>
    <row r="8" spans="1:18" ht="35.1" customHeight="1" x14ac:dyDescent="0.2">
      <c r="A8" s="410" t="s">
        <v>146</v>
      </c>
      <c r="B8" s="410"/>
      <c r="C8" s="410"/>
      <c r="D8" s="410"/>
      <c r="E8" s="411"/>
      <c r="F8" s="409"/>
      <c r="G8" s="409"/>
      <c r="H8" s="409"/>
      <c r="I8" s="409"/>
    </row>
    <row r="9" spans="1:18" ht="45" customHeight="1" x14ac:dyDescent="0.25">
      <c r="A9" s="69" t="s">
        <v>5</v>
      </c>
      <c r="B9" s="79" t="s">
        <v>110</v>
      </c>
      <c r="C9" s="79" t="s">
        <v>111</v>
      </c>
      <c r="D9" s="178" t="s">
        <v>226</v>
      </c>
      <c r="E9" s="411"/>
      <c r="F9" s="354"/>
      <c r="G9" s="354"/>
      <c r="H9" s="354"/>
      <c r="I9" s="354"/>
    </row>
    <row r="10" spans="1:18" ht="21.2" customHeight="1" x14ac:dyDescent="0.3">
      <c r="A10" s="80" t="s">
        <v>6</v>
      </c>
      <c r="B10" s="81">
        <v>55</v>
      </c>
      <c r="C10" s="81">
        <v>66</v>
      </c>
      <c r="D10" s="418" t="s">
        <v>150</v>
      </c>
      <c r="E10" s="82"/>
    </row>
    <row r="11" spans="1:18" ht="21.2" customHeight="1" x14ac:dyDescent="0.3">
      <c r="A11" s="80" t="s">
        <v>7</v>
      </c>
      <c r="B11" s="81">
        <v>27</v>
      </c>
      <c r="C11" s="81">
        <v>34</v>
      </c>
      <c r="D11" s="419"/>
      <c r="E11" s="82"/>
      <c r="F11" s="414"/>
      <c r="G11" s="414"/>
      <c r="H11" s="414"/>
      <c r="I11" s="414"/>
      <c r="J11" s="414"/>
      <c r="K11" s="414"/>
    </row>
    <row r="12" spans="1:18" ht="21.2" customHeight="1" x14ac:dyDescent="0.3">
      <c r="A12" s="80" t="s">
        <v>31</v>
      </c>
      <c r="B12" s="81">
        <v>30</v>
      </c>
      <c r="C12" s="81">
        <v>36</v>
      </c>
      <c r="D12" s="419"/>
      <c r="E12" s="82"/>
      <c r="F12" s="414"/>
      <c r="G12" s="414"/>
      <c r="H12" s="414"/>
      <c r="I12" s="414"/>
      <c r="J12" s="414"/>
      <c r="K12" s="414"/>
    </row>
    <row r="13" spans="1:18" ht="21.2" customHeight="1" x14ac:dyDescent="0.3">
      <c r="A13" s="80" t="s">
        <v>8</v>
      </c>
      <c r="B13" s="81">
        <v>31</v>
      </c>
      <c r="C13" s="81">
        <v>37</v>
      </c>
      <c r="D13" s="419"/>
      <c r="E13" s="82"/>
      <c r="F13" s="414"/>
      <c r="G13" s="414"/>
      <c r="H13" s="414"/>
      <c r="I13" s="414"/>
      <c r="J13" s="414"/>
      <c r="K13" s="414"/>
    </row>
    <row r="14" spans="1:18" ht="21.2" customHeight="1" x14ac:dyDescent="0.3">
      <c r="A14" s="80" t="s">
        <v>50</v>
      </c>
      <c r="B14" s="81">
        <v>34</v>
      </c>
      <c r="C14" s="81">
        <v>41</v>
      </c>
      <c r="D14" s="419"/>
      <c r="E14" s="82"/>
      <c r="F14" s="115"/>
      <c r="G14" s="417"/>
      <c r="H14" s="417"/>
      <c r="I14" s="122"/>
      <c r="J14" s="415"/>
      <c r="K14" s="415"/>
    </row>
    <row r="15" spans="1:18" ht="21.2" customHeight="1" x14ac:dyDescent="0.3">
      <c r="A15" s="80" t="s">
        <v>9</v>
      </c>
      <c r="B15" s="81">
        <v>28</v>
      </c>
      <c r="C15" s="81">
        <v>34</v>
      </c>
      <c r="D15" s="419"/>
      <c r="E15" s="82"/>
      <c r="F15" s="115"/>
      <c r="G15" s="417"/>
      <c r="H15" s="417"/>
      <c r="I15" s="122"/>
      <c r="J15" s="415"/>
      <c r="K15" s="415"/>
    </row>
    <row r="16" spans="1:18" ht="21.2" customHeight="1" x14ac:dyDescent="0.3">
      <c r="A16" s="80" t="s">
        <v>32</v>
      </c>
      <c r="B16" s="81">
        <v>31</v>
      </c>
      <c r="C16" s="81">
        <v>37</v>
      </c>
      <c r="D16" s="419"/>
      <c r="E16" s="82"/>
      <c r="F16" s="115"/>
      <c r="G16" s="417"/>
      <c r="H16" s="417"/>
      <c r="I16" s="122"/>
      <c r="J16" s="415"/>
      <c r="K16" s="415"/>
    </row>
    <row r="17" spans="1:11" ht="21.2" customHeight="1" x14ac:dyDescent="0.3">
      <c r="A17" s="80" t="s">
        <v>33</v>
      </c>
      <c r="B17" s="81">
        <v>60</v>
      </c>
      <c r="C17" s="81">
        <v>72</v>
      </c>
      <c r="D17" s="419"/>
      <c r="E17" s="82"/>
      <c r="F17" s="37"/>
      <c r="G17" s="416"/>
      <c r="H17" s="416"/>
      <c r="I17" s="121"/>
      <c r="J17" s="415"/>
      <c r="K17" s="415"/>
    </row>
    <row r="18" spans="1:11" ht="21.2" customHeight="1" x14ac:dyDescent="0.3">
      <c r="A18" s="80" t="s">
        <v>10</v>
      </c>
      <c r="B18" s="81">
        <v>53</v>
      </c>
      <c r="C18" s="81">
        <v>64</v>
      </c>
      <c r="D18" s="419"/>
      <c r="E18" s="82"/>
    </row>
    <row r="19" spans="1:11" ht="21.2" customHeight="1" x14ac:dyDescent="0.3">
      <c r="A19" s="80" t="s">
        <v>11</v>
      </c>
      <c r="B19" s="81">
        <v>31</v>
      </c>
      <c r="C19" s="81">
        <v>37</v>
      </c>
      <c r="D19" s="419"/>
      <c r="E19" s="82"/>
    </row>
    <row r="20" spans="1:11" ht="21.2" customHeight="1" x14ac:dyDescent="0.3">
      <c r="A20" s="80" t="s">
        <v>12</v>
      </c>
      <c r="B20" s="81">
        <v>31</v>
      </c>
      <c r="C20" s="81">
        <v>37</v>
      </c>
      <c r="D20" s="419"/>
      <c r="E20" s="82"/>
    </row>
    <row r="21" spans="1:11" ht="21.2" customHeight="1" x14ac:dyDescent="0.3">
      <c r="A21" s="80" t="s">
        <v>36</v>
      </c>
      <c r="B21" s="81">
        <v>33</v>
      </c>
      <c r="C21" s="81">
        <v>40</v>
      </c>
      <c r="D21" s="419"/>
      <c r="E21" s="82"/>
    </row>
    <row r="22" spans="1:11" ht="21.2" customHeight="1" x14ac:dyDescent="0.3">
      <c r="A22" s="80" t="s">
        <v>37</v>
      </c>
      <c r="B22" s="81">
        <v>33</v>
      </c>
      <c r="C22" s="81">
        <v>40</v>
      </c>
      <c r="D22" s="419"/>
      <c r="E22" s="82"/>
    </row>
    <row r="23" spans="1:11" ht="21.2" customHeight="1" x14ac:dyDescent="0.3">
      <c r="A23" s="80" t="s">
        <v>13</v>
      </c>
      <c r="B23" s="81">
        <v>38</v>
      </c>
      <c r="C23" s="81">
        <v>46</v>
      </c>
      <c r="D23" s="419"/>
      <c r="E23" s="82"/>
    </row>
    <row r="24" spans="1:11" ht="21.2" customHeight="1" x14ac:dyDescent="0.3">
      <c r="A24" s="80" t="s">
        <v>14</v>
      </c>
      <c r="B24" s="81">
        <v>33</v>
      </c>
      <c r="C24" s="81">
        <v>40</v>
      </c>
      <c r="D24" s="419"/>
      <c r="E24" s="82"/>
    </row>
    <row r="25" spans="1:11" ht="21.2" customHeight="1" x14ac:dyDescent="0.3">
      <c r="A25" s="80" t="s">
        <v>34</v>
      </c>
      <c r="B25" s="81">
        <v>36</v>
      </c>
      <c r="C25" s="81">
        <v>43</v>
      </c>
      <c r="D25" s="419"/>
      <c r="E25" s="82"/>
    </row>
    <row r="26" spans="1:11" ht="21.2" customHeight="1" x14ac:dyDescent="0.3">
      <c r="A26" s="80" t="s">
        <v>35</v>
      </c>
      <c r="B26" s="81">
        <v>38</v>
      </c>
      <c r="C26" s="81">
        <v>46</v>
      </c>
      <c r="D26" s="419"/>
      <c r="E26" s="82"/>
    </row>
    <row r="27" spans="1:11" ht="21.2" customHeight="1" x14ac:dyDescent="0.3">
      <c r="A27" s="80" t="s">
        <v>15</v>
      </c>
      <c r="B27" s="81">
        <v>41</v>
      </c>
      <c r="C27" s="81">
        <v>49</v>
      </c>
      <c r="D27" s="419"/>
      <c r="E27" s="82"/>
    </row>
    <row r="28" spans="1:11" ht="21.2" customHeight="1" x14ac:dyDescent="0.3">
      <c r="A28" s="80" t="s">
        <v>16</v>
      </c>
      <c r="B28" s="81">
        <v>21</v>
      </c>
      <c r="C28" s="81">
        <v>25</v>
      </c>
      <c r="D28" s="419"/>
      <c r="E28" s="82"/>
    </row>
    <row r="29" spans="1:11" ht="21.2" customHeight="1" x14ac:dyDescent="0.3">
      <c r="A29" s="80" t="s">
        <v>17</v>
      </c>
      <c r="B29" s="81">
        <v>44</v>
      </c>
      <c r="C29" s="81">
        <v>53</v>
      </c>
      <c r="D29" s="419"/>
      <c r="E29" s="82"/>
    </row>
    <row r="30" spans="1:11" ht="21.2" customHeight="1" x14ac:dyDescent="0.3">
      <c r="A30" s="80" t="s">
        <v>38</v>
      </c>
      <c r="B30" s="81">
        <v>28</v>
      </c>
      <c r="C30" s="81">
        <v>34</v>
      </c>
      <c r="D30" s="419"/>
      <c r="E30" s="82"/>
    </row>
    <row r="31" spans="1:11" ht="21.2" customHeight="1" x14ac:dyDescent="0.3">
      <c r="A31" s="80" t="s">
        <v>18</v>
      </c>
      <c r="B31" s="81">
        <v>29</v>
      </c>
      <c r="C31" s="81">
        <v>35</v>
      </c>
      <c r="D31" s="419"/>
      <c r="E31" s="82"/>
    </row>
    <row r="32" spans="1:11" ht="21.2" customHeight="1" x14ac:dyDescent="0.3">
      <c r="A32" s="80" t="s">
        <v>39</v>
      </c>
      <c r="B32" s="81">
        <v>28</v>
      </c>
      <c r="C32" s="81">
        <v>34</v>
      </c>
      <c r="D32" s="419"/>
      <c r="E32" s="82"/>
    </row>
    <row r="33" spans="1:5" ht="21.2" customHeight="1" x14ac:dyDescent="0.3">
      <c r="A33" s="80" t="s">
        <v>19</v>
      </c>
      <c r="B33" s="81">
        <v>62</v>
      </c>
      <c r="C33" s="81">
        <v>75</v>
      </c>
      <c r="D33" s="419"/>
      <c r="E33" s="82"/>
    </row>
    <row r="34" spans="1:5" ht="21.2" customHeight="1" x14ac:dyDescent="0.3">
      <c r="A34" s="80" t="s">
        <v>40</v>
      </c>
      <c r="B34" s="81">
        <v>30</v>
      </c>
      <c r="C34" s="81">
        <v>36</v>
      </c>
      <c r="D34" s="419"/>
      <c r="E34" s="82"/>
    </row>
    <row r="35" spans="1:5" ht="21.2" customHeight="1" x14ac:dyDescent="0.3">
      <c r="A35" s="80" t="s">
        <v>20</v>
      </c>
      <c r="B35" s="81">
        <v>30</v>
      </c>
      <c r="C35" s="81">
        <v>36</v>
      </c>
      <c r="D35" s="419"/>
      <c r="E35" s="82"/>
    </row>
    <row r="36" spans="1:5" ht="21.2" customHeight="1" x14ac:dyDescent="0.3">
      <c r="A36" s="80" t="s">
        <v>41</v>
      </c>
      <c r="B36" s="81">
        <v>26</v>
      </c>
      <c r="C36" s="81">
        <v>34</v>
      </c>
      <c r="D36" s="419"/>
      <c r="E36" s="82"/>
    </row>
    <row r="37" spans="1:5" ht="21.2" customHeight="1" x14ac:dyDescent="0.3">
      <c r="A37" s="80" t="s">
        <v>42</v>
      </c>
      <c r="B37" s="81">
        <v>26</v>
      </c>
      <c r="C37" s="81">
        <v>34</v>
      </c>
      <c r="D37" s="419"/>
      <c r="E37" s="82"/>
    </row>
    <row r="38" spans="1:5" ht="21.2" customHeight="1" x14ac:dyDescent="0.3">
      <c r="A38" s="80" t="s">
        <v>43</v>
      </c>
      <c r="B38" s="81">
        <v>30</v>
      </c>
      <c r="C38" s="81">
        <v>36</v>
      </c>
      <c r="D38" s="419"/>
      <c r="E38" s="82"/>
    </row>
    <row r="39" spans="1:5" ht="21.2" customHeight="1" x14ac:dyDescent="0.3">
      <c r="A39" s="80" t="s">
        <v>21</v>
      </c>
      <c r="B39" s="81">
        <v>28</v>
      </c>
      <c r="C39" s="81">
        <v>34</v>
      </c>
      <c r="D39" s="419"/>
      <c r="E39" s="82"/>
    </row>
    <row r="40" spans="1:5" ht="21.2" customHeight="1" x14ac:dyDescent="0.3">
      <c r="A40" s="80" t="s">
        <v>22</v>
      </c>
      <c r="B40" s="81">
        <v>25</v>
      </c>
      <c r="C40" s="81">
        <v>34</v>
      </c>
      <c r="D40" s="419"/>
      <c r="E40" s="82"/>
    </row>
    <row r="41" spans="1:5" ht="21.2" customHeight="1" x14ac:dyDescent="0.3">
      <c r="A41" s="80" t="s">
        <v>44</v>
      </c>
      <c r="B41" s="81">
        <v>29</v>
      </c>
      <c r="C41" s="81">
        <v>35</v>
      </c>
      <c r="D41" s="419"/>
      <c r="E41" s="82"/>
    </row>
    <row r="42" spans="1:5" ht="21.2" customHeight="1" x14ac:dyDescent="0.25">
      <c r="A42" s="80" t="s">
        <v>45</v>
      </c>
      <c r="B42" s="81">
        <v>33</v>
      </c>
      <c r="C42" s="81">
        <v>40</v>
      </c>
      <c r="D42" s="419"/>
      <c r="E42" s="83"/>
    </row>
    <row r="43" spans="1:5" ht="21.2" customHeight="1" x14ac:dyDescent="0.25">
      <c r="A43" s="80" t="s">
        <v>46</v>
      </c>
      <c r="B43" s="81">
        <v>30</v>
      </c>
      <c r="C43" s="81">
        <v>36</v>
      </c>
      <c r="D43" s="419"/>
      <c r="E43" s="83"/>
    </row>
    <row r="44" spans="1:5" ht="21.2" customHeight="1" x14ac:dyDescent="0.25">
      <c r="A44" s="80" t="s">
        <v>47</v>
      </c>
      <c r="B44" s="81">
        <v>33</v>
      </c>
      <c r="C44" s="81">
        <v>40</v>
      </c>
      <c r="D44" s="419"/>
      <c r="E44" s="83"/>
    </row>
    <row r="45" spans="1:5" ht="21.2" customHeight="1" x14ac:dyDescent="0.25">
      <c r="A45" s="80" t="s">
        <v>48</v>
      </c>
      <c r="B45" s="81">
        <v>32</v>
      </c>
      <c r="C45" s="81">
        <v>39</v>
      </c>
      <c r="D45" s="419"/>
      <c r="E45" s="83"/>
    </row>
    <row r="46" spans="1:5" ht="21.2" customHeight="1" x14ac:dyDescent="0.25">
      <c r="A46" s="80" t="s">
        <v>23</v>
      </c>
      <c r="B46" s="81">
        <v>29</v>
      </c>
      <c r="C46" s="81">
        <v>35</v>
      </c>
      <c r="D46" s="419"/>
      <c r="E46" s="83"/>
    </row>
    <row r="47" spans="1:5" ht="21.2" customHeight="1" x14ac:dyDescent="0.25">
      <c r="A47" s="80" t="s">
        <v>24</v>
      </c>
      <c r="B47" s="81">
        <v>30</v>
      </c>
      <c r="C47" s="81">
        <v>36</v>
      </c>
      <c r="D47" s="419"/>
      <c r="E47" s="83"/>
    </row>
    <row r="48" spans="1:5" ht="21.2" customHeight="1" x14ac:dyDescent="0.25">
      <c r="A48" s="80" t="s">
        <v>49</v>
      </c>
      <c r="B48" s="81">
        <v>30</v>
      </c>
      <c r="C48" s="81">
        <v>36</v>
      </c>
      <c r="D48" s="419"/>
      <c r="E48" s="83"/>
    </row>
    <row r="49" spans="1:5" ht="21.2" customHeight="1" x14ac:dyDescent="0.25">
      <c r="A49" s="80" t="s">
        <v>25</v>
      </c>
      <c r="B49" s="81">
        <v>28</v>
      </c>
      <c r="C49" s="81">
        <v>34</v>
      </c>
      <c r="D49" s="420"/>
      <c r="E49" s="83"/>
    </row>
    <row r="50" spans="1:5" ht="20.25" x14ac:dyDescent="0.3">
      <c r="A50" s="84"/>
      <c r="B50" s="84"/>
      <c r="C50" s="84"/>
      <c r="D50" s="84"/>
    </row>
    <row r="54" spans="1:5" s="86" customFormat="1" ht="39.950000000000003" customHeight="1" x14ac:dyDescent="0.2">
      <c r="A54" s="413"/>
      <c r="B54" s="413"/>
      <c r="C54" s="413"/>
      <c r="D54" s="413"/>
      <c r="E54" s="85"/>
    </row>
  </sheetData>
  <sheetProtection password="8BE7" sheet="1" objects="1" scenarios="1"/>
  <mergeCells count="25">
    <mergeCell ref="A54:D54"/>
    <mergeCell ref="F11:K11"/>
    <mergeCell ref="J14:K14"/>
    <mergeCell ref="J17:K17"/>
    <mergeCell ref="G17:H17"/>
    <mergeCell ref="J16:K16"/>
    <mergeCell ref="J15:K15"/>
    <mergeCell ref="G16:H16"/>
    <mergeCell ref="G14:H14"/>
    <mergeCell ref="G15:H15"/>
    <mergeCell ref="F12:K12"/>
    <mergeCell ref="F13:K13"/>
    <mergeCell ref="D10:D49"/>
    <mergeCell ref="F9:I9"/>
    <mergeCell ref="A1:D1"/>
    <mergeCell ref="A2:D2"/>
    <mergeCell ref="A3:D3"/>
    <mergeCell ref="A4:D4"/>
    <mergeCell ref="F8:I8"/>
    <mergeCell ref="A8:D8"/>
    <mergeCell ref="F4:J4"/>
    <mergeCell ref="F3:J3"/>
    <mergeCell ref="E8:E9"/>
    <mergeCell ref="A6:D6"/>
    <mergeCell ref="A7:D7"/>
  </mergeCells>
  <phoneticPr fontId="3" type="noConversion"/>
  <hyperlinks>
    <hyperlink ref="M2:O2" location="'Protected Areas'!A1" display="back to Protected Areas"/>
    <hyperlink ref="F4:I4" location="'Protected Areas'!A1" display="back to Protected Areas"/>
    <hyperlink ref="F3:J3" location="'S.F. - MCF'!A1" display="go to Material Conversion Factor Curve"/>
    <hyperlink ref="D10:D49" location="'S.F. - MCF'!A1" display="Selected Manually From &quot;Materiaal Conversion Factor Curve"/>
  </hyperlinks>
  <printOptions horizontalCentered="1"/>
  <pageMargins left="0.39370078740157499" right="0.39370078740157499" top="0.7" bottom="1.5" header="0.511811023622047" footer="0.511811023622047"/>
  <pageSetup paperSize="9" scale="87" fitToHeight="2" orientation="portrait" horizontalDpi="300" verticalDpi="300" r:id="rId1"/>
  <headerFooter alignWithMargins="0">
    <oddHeader>&amp;L&amp;G</oddHeader>
    <oddFooter>&amp;L&amp;"Cambria,Regular"&amp;8Tel  : +98 ( 21 ) 4420 1601
&amp;K00+000Tel  :&amp;K000000 +98 ( 21 ) 4420 1768
Fax : +98 ( 21 ) 4420 1934&amp;C&amp;"Cambria,Regular"&amp;8-  5  -&amp;R&amp;"Cambria,Regular"&amp;8Design by Ali  Cheraghi 
( BSEE )</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81925EB5-2CA7-489E-B00C-1B879CC77C0D}">
            <xm:f>'Protected Areas'!$D$13=1</xm:f>
            <x14:dxf>
              <font>
                <color theme="0"/>
              </font>
              <fill>
                <patternFill>
                  <bgColor rgb="FFFF0000"/>
                </patternFill>
              </fill>
              <border>
                <left style="dotted">
                  <color auto="1"/>
                </left>
                <right style="dotted">
                  <color auto="1"/>
                </right>
                <top style="dotted">
                  <color auto="1"/>
                </top>
                <bottom style="dotted">
                  <color auto="1"/>
                </bottom>
                <vertical/>
                <horizontal/>
              </border>
            </x14:dxf>
          </x14:cfRule>
          <xm:sqref>A6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FFC000"/>
    <pageSetUpPr fitToPage="1"/>
  </sheetPr>
  <dimension ref="A1:S44"/>
  <sheetViews>
    <sheetView showGridLines="0" view="pageBreakPreview" zoomScale="115" workbookViewId="0">
      <selection activeCell="P4" sqref="P4:S4"/>
    </sheetView>
  </sheetViews>
  <sheetFormatPr defaultColWidth="9.140625" defaultRowHeight="12.75" x14ac:dyDescent="0.2"/>
  <cols>
    <col min="1" max="2" width="12.7109375" style="1" customWidth="1"/>
    <col min="3" max="14" width="9.7109375" style="1" customWidth="1"/>
    <col min="15" max="16384" width="9.140625" style="1"/>
  </cols>
  <sheetData>
    <row r="1" spans="1:19" ht="30" customHeight="1" x14ac:dyDescent="0.2">
      <c r="A1" s="270" t="s">
        <v>153</v>
      </c>
      <c r="B1" s="270"/>
      <c r="C1" s="270"/>
      <c r="D1" s="270"/>
      <c r="E1" s="270"/>
      <c r="F1" s="270"/>
      <c r="G1" s="270"/>
      <c r="H1" s="270"/>
      <c r="I1" s="270"/>
      <c r="J1" s="270"/>
      <c r="K1" s="270"/>
      <c r="L1" s="270"/>
      <c r="M1" s="270"/>
      <c r="N1" s="270"/>
    </row>
    <row r="2" spans="1:19" ht="20.100000000000001" customHeight="1" x14ac:dyDescent="0.2">
      <c r="A2" s="340" t="s">
        <v>88</v>
      </c>
      <c r="B2" s="340"/>
      <c r="C2" s="340"/>
      <c r="D2" s="340"/>
      <c r="E2" s="340"/>
      <c r="F2" s="340"/>
      <c r="G2" s="340"/>
      <c r="H2" s="340"/>
      <c r="I2" s="340"/>
      <c r="J2" s="340"/>
      <c r="K2" s="340"/>
      <c r="L2" s="340"/>
      <c r="M2" s="340"/>
      <c r="N2" s="340"/>
      <c r="O2" s="27"/>
      <c r="P2" s="409" t="s">
        <v>152</v>
      </c>
      <c r="Q2" s="409"/>
      <c r="R2" s="409"/>
      <c r="S2" s="409"/>
    </row>
    <row r="3" spans="1:19" ht="20.100000000000001" customHeight="1" x14ac:dyDescent="0.2">
      <c r="A3" s="271" t="s">
        <v>157</v>
      </c>
      <c r="B3" s="271"/>
      <c r="C3" s="271"/>
      <c r="D3" s="271"/>
      <c r="E3" s="271"/>
      <c r="F3" s="271"/>
      <c r="G3" s="271"/>
      <c r="H3" s="271"/>
      <c r="I3" s="271"/>
      <c r="J3" s="271"/>
      <c r="K3" s="271"/>
      <c r="L3" s="271"/>
      <c r="M3" s="271"/>
      <c r="N3" s="271"/>
      <c r="P3" s="422"/>
      <c r="Q3" s="422"/>
      <c r="R3" s="422"/>
      <c r="S3" s="422"/>
    </row>
    <row r="4" spans="1:19" ht="24.95" customHeight="1" x14ac:dyDescent="0.2">
      <c r="A4" s="374" t="s">
        <v>170</v>
      </c>
      <c r="B4" s="374"/>
      <c r="C4" s="374"/>
      <c r="D4" s="374"/>
      <c r="E4" s="374"/>
      <c r="F4" s="374"/>
      <c r="G4" s="374"/>
      <c r="H4" s="374"/>
      <c r="I4" s="374"/>
      <c r="J4" s="374"/>
      <c r="K4" s="374"/>
      <c r="L4" s="374"/>
      <c r="M4" s="374"/>
      <c r="N4" s="374"/>
      <c r="P4" s="409" t="s">
        <v>151</v>
      </c>
      <c r="Q4" s="409"/>
      <c r="R4" s="409"/>
      <c r="S4" s="409"/>
    </row>
    <row r="5" spans="1:19" ht="12" customHeight="1" x14ac:dyDescent="0.2"/>
    <row r="6" spans="1:19" s="70" customFormat="1" ht="20.100000000000001" customHeight="1" x14ac:dyDescent="0.25">
      <c r="A6" s="407" t="str">
        <f>IF(Fire_Type=2,Project.Name,"This Page is incorrect Field, You Selected Deep Seated Fires Field but This Field is acoording to Surface Fires")</f>
        <v>This Page is incorrect Field, You Selected Deep Seated Fires Field but This Field is acoording to Surface Fires</v>
      </c>
      <c r="B6" s="407"/>
      <c r="C6" s="407"/>
      <c r="D6" s="407"/>
      <c r="E6" s="407"/>
      <c r="F6" s="407"/>
      <c r="G6" s="407"/>
      <c r="H6" s="407"/>
      <c r="I6" s="407"/>
      <c r="J6" s="407"/>
      <c r="K6" s="407"/>
      <c r="L6" s="407"/>
      <c r="M6" s="407"/>
      <c r="N6" s="407"/>
      <c r="O6" s="66"/>
    </row>
    <row r="7" spans="1:19" s="70" customFormat="1" ht="12" customHeight="1" x14ac:dyDescent="0.25">
      <c r="A7" s="66"/>
      <c r="B7" s="66"/>
      <c r="C7" s="66"/>
      <c r="D7" s="66"/>
      <c r="E7" s="66"/>
      <c r="F7" s="66"/>
      <c r="G7" s="66"/>
      <c r="H7" s="66"/>
      <c r="I7" s="66"/>
      <c r="J7" s="66"/>
      <c r="K7" s="66"/>
      <c r="L7" s="66"/>
      <c r="M7" s="66"/>
      <c r="N7" s="66"/>
      <c r="O7" s="66"/>
    </row>
    <row r="8" spans="1:19" ht="14.25" x14ac:dyDescent="0.2">
      <c r="A8" s="424" t="s">
        <v>142</v>
      </c>
      <c r="B8" s="424"/>
      <c r="C8" s="425" t="str">
        <f>S.F._Fule_Type</f>
        <v>Methane</v>
      </c>
      <c r="D8" s="426"/>
    </row>
    <row r="10" spans="1:19" ht="14.25" x14ac:dyDescent="0.2">
      <c r="A10" s="424" t="s">
        <v>158</v>
      </c>
      <c r="B10" s="424"/>
      <c r="C10" s="48">
        <f>S.F._D.C</f>
        <v>34</v>
      </c>
      <c r="D10" s="109" t="s">
        <v>29</v>
      </c>
    </row>
    <row r="11" spans="1:19" x14ac:dyDescent="0.2">
      <c r="A11" s="110"/>
      <c r="B11" s="110"/>
      <c r="C11" s="110"/>
      <c r="D11" s="110"/>
    </row>
    <row r="12" spans="1:19" x14ac:dyDescent="0.2">
      <c r="A12" s="423" t="s">
        <v>171</v>
      </c>
      <c r="B12" s="423"/>
      <c r="C12" s="423"/>
      <c r="D12" s="423"/>
      <c r="E12" s="423"/>
      <c r="F12" s="423"/>
      <c r="G12" s="423"/>
      <c r="H12" s="423"/>
      <c r="I12" s="423"/>
      <c r="J12" s="423"/>
      <c r="K12" s="423"/>
      <c r="L12" s="423"/>
      <c r="M12" s="423"/>
      <c r="N12" s="423"/>
    </row>
    <row r="13" spans="1:19" x14ac:dyDescent="0.2">
      <c r="A13" s="423"/>
      <c r="B13" s="423"/>
      <c r="C13" s="423"/>
      <c r="D13" s="423"/>
      <c r="E13" s="423"/>
      <c r="F13" s="423"/>
      <c r="G13" s="423"/>
      <c r="H13" s="423"/>
      <c r="I13" s="423"/>
      <c r="J13" s="423"/>
      <c r="K13" s="423"/>
      <c r="L13" s="423"/>
      <c r="M13" s="423"/>
      <c r="N13" s="423"/>
    </row>
    <row r="16" spans="1:19" ht="12.75" customHeight="1" x14ac:dyDescent="0.2"/>
    <row r="44" spans="1:14" ht="18" x14ac:dyDescent="0.25">
      <c r="A44" s="421" t="s">
        <v>27</v>
      </c>
      <c r="B44" s="421"/>
      <c r="C44" s="421"/>
      <c r="D44" s="421"/>
      <c r="E44" s="421"/>
      <c r="F44" s="421"/>
      <c r="G44" s="421"/>
      <c r="H44" s="421"/>
      <c r="I44" s="421"/>
      <c r="J44" s="421"/>
      <c r="K44" s="421"/>
      <c r="L44" s="421"/>
      <c r="M44" s="421"/>
      <c r="N44" s="421"/>
    </row>
  </sheetData>
  <sheetProtection password="8BE7" sheet="1" objects="1" scenarios="1"/>
  <mergeCells count="13">
    <mergeCell ref="A44:N44"/>
    <mergeCell ref="P2:S2"/>
    <mergeCell ref="P3:S3"/>
    <mergeCell ref="P4:S4"/>
    <mergeCell ref="A1:N1"/>
    <mergeCell ref="A2:N2"/>
    <mergeCell ref="A3:N3"/>
    <mergeCell ref="A4:N4"/>
    <mergeCell ref="A6:N6"/>
    <mergeCell ref="A12:N13"/>
    <mergeCell ref="A8:B8"/>
    <mergeCell ref="C8:D8"/>
    <mergeCell ref="A10:B10"/>
  </mergeCells>
  <phoneticPr fontId="3" type="noConversion"/>
  <conditionalFormatting sqref="C8:D8">
    <cfRule type="expression" dxfId="54" priority="4">
      <formula>$D$10=1</formula>
    </cfRule>
  </conditionalFormatting>
  <conditionalFormatting sqref="A8:B8">
    <cfRule type="expression" dxfId="53" priority="3">
      <formula>$D$10=1</formula>
    </cfRule>
  </conditionalFormatting>
  <conditionalFormatting sqref="A10:C10">
    <cfRule type="expression" dxfId="52" priority="2">
      <formula>$D$10=1</formula>
    </cfRule>
  </conditionalFormatting>
  <hyperlinks>
    <hyperlink ref="A44" location="'Calculation Sheet'!A1" display="Back"/>
    <hyperlink ref="A44:N44" location="'D.C ( Surface )'!A1" display="Back"/>
    <hyperlink ref="P4:S4" location="'Protected Areas'!A1" display="back to Protected Areas"/>
    <hyperlink ref="P2:S2" location="'S.F. - D.C (NFPA)'!A1" display="back to Design Concentration Sheet"/>
    <hyperlink ref="A8:B8" location="'S.F. - D.C'!A1" display="Select Type of Fule"/>
  </hyperlinks>
  <printOptions horizontalCentered="1"/>
  <pageMargins left="0.39370078740157499" right="0.39370078740157499" top="0.39370078740157499" bottom="0.98425196850393704" header="0.511811023622047" footer="0.511811023622047"/>
  <pageSetup paperSize="9" scale="69" orientation="landscape" horizontalDpi="300" verticalDpi="300" r:id="rId1"/>
  <headerFooter alignWithMargins="0">
    <oddHeader>&amp;L&amp;G</oddHeader>
    <oddFooter xml:space="preserve">&amp;L&amp;"Cambria,Regular"&amp;8Tel  : +98 ( 21 ) 4420 1601
&amp;K00+000Tel  :&amp;K000000 +98 ( 21 ) 4420 1768
Fax : +98 ( 21 ) 4420 1934&amp;C&amp;"Cambria,Regular"&amp;8- 6 -&amp;R&amp;"Cambria,Regular"&amp;8Design by Ali  Cheraghi 
( BSEE )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0A130876-9578-475E-A7C4-6612725A2D91}">
            <xm:f>'Protected Areas'!$D$13=1</xm:f>
            <x14:dxf>
              <font>
                <color theme="0"/>
              </font>
              <fill>
                <patternFill>
                  <bgColor rgb="FFFF0000"/>
                </patternFill>
              </fill>
              <border>
                <left style="dotted">
                  <color auto="1"/>
                </left>
                <right style="dotted">
                  <color auto="1"/>
                </right>
                <top style="dotted">
                  <color auto="1"/>
                </top>
                <bottom style="dotted">
                  <color auto="1"/>
                </bottom>
                <vertical/>
                <horizontal/>
              </border>
            </x14:dxf>
          </x14:cfRule>
          <xm:sqref>A6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54</vt:i4>
      </vt:variant>
    </vt:vector>
  </HeadingPairs>
  <TitlesOfParts>
    <vt:vector size="67" baseType="lpstr">
      <vt:lpstr>raw data</vt:lpstr>
      <vt:lpstr>Introduction</vt:lpstr>
      <vt:lpstr>Summary</vt:lpstr>
      <vt:lpstr>Protected Areas</vt:lpstr>
      <vt:lpstr>Flow rate</vt:lpstr>
      <vt:lpstr>D.S. - D.C. &amp; F.F. </vt:lpstr>
      <vt:lpstr>S.F. - F.F.</vt:lpstr>
      <vt:lpstr>S.F. - D.C (NFPA)</vt:lpstr>
      <vt:lpstr>S.F. - MCF</vt:lpstr>
      <vt:lpstr>S.F. - D.C (BS)</vt:lpstr>
      <vt:lpstr>Temp. Compensation</vt:lpstr>
      <vt:lpstr>Leakage Compensation</vt:lpstr>
      <vt:lpstr>Leakage Rate</vt:lpstr>
      <vt:lpstr>CO2_Standards</vt:lpstr>
      <vt:lpstr>Container_No.</vt:lpstr>
      <vt:lpstr>D.S._D.C.</vt:lpstr>
      <vt:lpstr>D.S._F.F.</vt:lpstr>
      <vt:lpstr>Discharge.Time</vt:lpstr>
      <vt:lpstr>Fire_Type</vt:lpstr>
      <vt:lpstr>L.R</vt:lpstr>
      <vt:lpstr>Leakage_Compensation</vt:lpstr>
      <vt:lpstr>Number_Enclosure</vt:lpstr>
      <vt:lpstr>Number_of_Enclosures</vt:lpstr>
      <vt:lpstr>'Leakage Compensation'!O.D.S</vt:lpstr>
      <vt:lpstr>'D.S. - D.C. &amp; F.F. '!Print_Area</vt:lpstr>
      <vt:lpstr>'Flow rate'!Print_Area</vt:lpstr>
      <vt:lpstr>Introduction!Print_Area</vt:lpstr>
      <vt:lpstr>'Leakage Compensation'!Print_Area</vt:lpstr>
      <vt:lpstr>'Leakage Rate'!Print_Area</vt:lpstr>
      <vt:lpstr>'Protected Areas'!Print_Area</vt:lpstr>
      <vt:lpstr>'S.F. - D.C (BS)'!Print_Area</vt:lpstr>
      <vt:lpstr>'S.F. - D.C (NFPA)'!Print_Area</vt:lpstr>
      <vt:lpstr>'S.F. - F.F.'!Print_Area</vt:lpstr>
      <vt:lpstr>'S.F. - MCF'!Print_Area</vt:lpstr>
      <vt:lpstr>Summary!Print_Area</vt:lpstr>
      <vt:lpstr>'Temp. Compensation'!Print_Area</vt:lpstr>
      <vt:lpstr>'S.F. - D.C (BS)'!Print_Titles</vt:lpstr>
      <vt:lpstr>'S.F. - D.C (NFPA)'!Print_Titles</vt:lpstr>
      <vt:lpstr>Project.Name</vt:lpstr>
      <vt:lpstr>S.F._D.C</vt:lpstr>
      <vt:lpstr>S.F._F.F</vt:lpstr>
      <vt:lpstr>S.F._F.F.1</vt:lpstr>
      <vt:lpstr>S.F._F.F.2</vt:lpstr>
      <vt:lpstr>S.F._F.F.3</vt:lpstr>
      <vt:lpstr>S.F._F.F.4</vt:lpstr>
      <vt:lpstr>S.F._F.F.5</vt:lpstr>
      <vt:lpstr>S.F._Fule_Type</vt:lpstr>
      <vt:lpstr>S.F._M.C.F.1</vt:lpstr>
      <vt:lpstr>S.F._M.C.F.2</vt:lpstr>
      <vt:lpstr>S.F._Material</vt:lpstr>
      <vt:lpstr>S.F_MDC</vt:lpstr>
      <vt:lpstr>Standards</vt:lpstr>
      <vt:lpstr>Temp</vt:lpstr>
      <vt:lpstr>Temp_Compensate</vt:lpstr>
      <vt:lpstr>Total.Volume</vt:lpstr>
      <vt:lpstr>Total.Volume.1</vt:lpstr>
      <vt:lpstr>Total.Volume.2</vt:lpstr>
      <vt:lpstr>Total.Volume.3</vt:lpstr>
      <vt:lpstr>Total.Volume.4</vt:lpstr>
      <vt:lpstr>Total.Volume.5</vt:lpstr>
      <vt:lpstr>Total_Agent</vt:lpstr>
      <vt:lpstr>Total_Agent_Basic</vt:lpstr>
      <vt:lpstr>Volume_01_percent</vt:lpstr>
      <vt:lpstr>Volume_02_percent</vt:lpstr>
      <vt:lpstr>Volume_03_percent</vt:lpstr>
      <vt:lpstr>Volume_04_percent</vt:lpstr>
      <vt:lpstr>Volume_05_percent</vt:lpstr>
    </vt:vector>
  </TitlesOfParts>
  <Company>NOOR  NEDA  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CO2  Calculator</dc:title>
  <dc:creator>A.CHERAGHI</dc:creator>
  <cp:keywords>1385/03/05</cp:keywords>
  <cp:lastModifiedBy>Ali</cp:lastModifiedBy>
  <cp:lastPrinted>2017-06-17T18:21:29Z</cp:lastPrinted>
  <dcterms:created xsi:type="dcterms:W3CDTF">2006-03-12T07:28:07Z</dcterms:created>
  <dcterms:modified xsi:type="dcterms:W3CDTF">2017-11-04T11:34:52Z</dcterms:modified>
</cp:coreProperties>
</file>